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5\ตารางวิกฤตทางการเงิน ปี 2565\"/>
    </mc:Choice>
  </mc:AlternateContent>
  <xr:revisionPtr revIDLastSave="0" documentId="13_ncr:1_{CE0FDC99-B0BD-4927-8682-95365E38D186}" xr6:coauthVersionLast="47" xr6:coauthVersionMax="47" xr10:uidLastSave="{00000000-0000-0000-0000-000000000000}"/>
  <bookViews>
    <workbookView xWindow="-120" yWindow="-120" windowWidth="29040" windowHeight="15840" tabRatio="768" activeTab="11" xr2:uid="{00000000-000D-0000-FFFF-FFFF00000000}"/>
  </bookViews>
  <sheets>
    <sheet name="ต.ค.64" sheetId="20" r:id="rId1"/>
    <sheet name="พ.ย.64" sheetId="22" r:id="rId2"/>
    <sheet name="ธ.ค.64" sheetId="23" r:id="rId3"/>
    <sheet name="ม.ค.65" sheetId="24" r:id="rId4"/>
    <sheet name="ก.พ.65" sheetId="25" r:id="rId5"/>
    <sheet name="มี.ค.65" sheetId="26" r:id="rId6"/>
    <sheet name="เม.ย.65" sheetId="27" r:id="rId7"/>
    <sheet name="พ.ค.65" sheetId="28" r:id="rId8"/>
    <sheet name="มิ.ย.65" sheetId="29" r:id="rId9"/>
    <sheet name="ก.ค.65" sheetId="30" r:id="rId10"/>
    <sheet name="ส.ค.65" sheetId="31" r:id="rId11"/>
    <sheet name="ก.ย.65 " sheetId="3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" i="32" l="1"/>
  <c r="O7" i="32"/>
  <c r="O8" i="32"/>
  <c r="O9" i="32"/>
  <c r="O10" i="32"/>
  <c r="O11" i="32"/>
  <c r="O12" i="32"/>
  <c r="O13" i="32"/>
  <c r="O14" i="32"/>
  <c r="O15" i="32"/>
  <c r="O16" i="32"/>
  <c r="O17" i="32"/>
  <c r="O18" i="32"/>
  <c r="O19" i="32"/>
  <c r="O20" i="32"/>
  <c r="O5" i="32"/>
  <c r="G5" i="32"/>
  <c r="J5" i="32"/>
  <c r="N5" i="32" s="1"/>
  <c r="K5" i="32"/>
  <c r="L5" i="32"/>
  <c r="M5" i="32"/>
  <c r="G6" i="32"/>
  <c r="J6" i="32"/>
  <c r="K6" i="32"/>
  <c r="L6" i="32"/>
  <c r="M6" i="32"/>
  <c r="G7" i="32"/>
  <c r="J7" i="32"/>
  <c r="K7" i="32"/>
  <c r="L7" i="32"/>
  <c r="M7" i="32"/>
  <c r="G5" i="24"/>
  <c r="G6" i="24"/>
  <c r="G7" i="24"/>
  <c r="N6" i="24"/>
  <c r="N7" i="24"/>
  <c r="N8" i="24"/>
  <c r="N5" i="24"/>
  <c r="N6" i="32" l="1"/>
  <c r="N7" i="32"/>
  <c r="K6" i="22"/>
  <c r="M20" i="32"/>
  <c r="M19" i="32"/>
  <c r="M18" i="32"/>
  <c r="M17" i="32"/>
  <c r="M16" i="32"/>
  <c r="M15" i="32"/>
  <c r="M14" i="32"/>
  <c r="M13" i="32"/>
  <c r="M12" i="32"/>
  <c r="M11" i="32"/>
  <c r="M10" i="32"/>
  <c r="M9" i="32"/>
  <c r="M8" i="32"/>
  <c r="K8" i="32"/>
  <c r="L8" i="32" s="1"/>
  <c r="K9" i="32"/>
  <c r="L9" i="32" s="1"/>
  <c r="K10" i="32"/>
  <c r="L10" i="32" s="1"/>
  <c r="K11" i="32"/>
  <c r="L11" i="32" s="1"/>
  <c r="K12" i="32"/>
  <c r="L12" i="32" s="1"/>
  <c r="K13" i="32"/>
  <c r="K14" i="32"/>
  <c r="L14" i="32" s="1"/>
  <c r="K15" i="32"/>
  <c r="L15" i="32" s="1"/>
  <c r="K16" i="32"/>
  <c r="L16" i="32" s="1"/>
  <c r="K17" i="32"/>
  <c r="L17" i="32" s="1"/>
  <c r="K18" i="32"/>
  <c r="L18" i="32" s="1"/>
  <c r="K19" i="32"/>
  <c r="L19" i="32" s="1"/>
  <c r="K20" i="32"/>
  <c r="L20" i="32" s="1"/>
  <c r="M21" i="32"/>
  <c r="J20" i="32"/>
  <c r="G20" i="32"/>
  <c r="J19" i="32"/>
  <c r="G19" i="32"/>
  <c r="J18" i="32"/>
  <c r="G18" i="32"/>
  <c r="J17" i="32"/>
  <c r="G17" i="32"/>
  <c r="J16" i="32"/>
  <c r="G16" i="32"/>
  <c r="N16" i="32" s="1"/>
  <c r="J15" i="32"/>
  <c r="G15" i="32"/>
  <c r="J14" i="32"/>
  <c r="G14" i="32"/>
  <c r="L13" i="32"/>
  <c r="J13" i="32"/>
  <c r="G13" i="32"/>
  <c r="J12" i="32"/>
  <c r="G12" i="32"/>
  <c r="J11" i="32"/>
  <c r="G11" i="32"/>
  <c r="J10" i="32"/>
  <c r="G10" i="32"/>
  <c r="J9" i="32"/>
  <c r="G9" i="32"/>
  <c r="J8" i="32"/>
  <c r="G8" i="32"/>
  <c r="M20" i="31"/>
  <c r="M19" i="31"/>
  <c r="M18" i="31"/>
  <c r="M17" i="31"/>
  <c r="M16" i="31"/>
  <c r="M15" i="31"/>
  <c r="M14" i="31"/>
  <c r="M13" i="31"/>
  <c r="M12" i="31"/>
  <c r="M11" i="31"/>
  <c r="M10" i="31"/>
  <c r="M9" i="31"/>
  <c r="M8" i="31"/>
  <c r="M7" i="31"/>
  <c r="M6" i="31"/>
  <c r="M5" i="31"/>
  <c r="K20" i="31"/>
  <c r="L20" i="31" s="1"/>
  <c r="K19" i="31"/>
  <c r="L19" i="31" s="1"/>
  <c r="K18" i="31"/>
  <c r="K17" i="31"/>
  <c r="L17" i="31" s="1"/>
  <c r="K16" i="31"/>
  <c r="L16" i="31" s="1"/>
  <c r="K15" i="31"/>
  <c r="L15" i="31" s="1"/>
  <c r="K14" i="31"/>
  <c r="L14" i="31" s="1"/>
  <c r="K13" i="31"/>
  <c r="K12" i="31"/>
  <c r="L12" i="31" s="1"/>
  <c r="K11" i="31"/>
  <c r="K10" i="31"/>
  <c r="L10" i="31" s="1"/>
  <c r="K9" i="31"/>
  <c r="L9" i="31" s="1"/>
  <c r="K8" i="31"/>
  <c r="L8" i="31" s="1"/>
  <c r="K7" i="31"/>
  <c r="L7" i="31" s="1"/>
  <c r="K6" i="31"/>
  <c r="L6" i="31" s="1"/>
  <c r="K5" i="31"/>
  <c r="L5" i="31" s="1"/>
  <c r="M21" i="31"/>
  <c r="J20" i="31"/>
  <c r="G20" i="31"/>
  <c r="J19" i="31"/>
  <c r="G19" i="31"/>
  <c r="L18" i="31"/>
  <c r="J18" i="31"/>
  <c r="G18" i="31"/>
  <c r="J17" i="31"/>
  <c r="G17" i="31"/>
  <c r="J16" i="31"/>
  <c r="G16" i="31"/>
  <c r="J15" i="31"/>
  <c r="G15" i="31"/>
  <c r="J14" i="31"/>
  <c r="G14" i="31"/>
  <c r="L13" i="31"/>
  <c r="J13" i="31"/>
  <c r="G13" i="31"/>
  <c r="J12" i="31"/>
  <c r="G12" i="31"/>
  <c r="L11" i="31"/>
  <c r="J11" i="31"/>
  <c r="G11" i="31"/>
  <c r="J10" i="31"/>
  <c r="G10" i="31"/>
  <c r="J9" i="31"/>
  <c r="G9" i="31"/>
  <c r="J8" i="31"/>
  <c r="G8" i="31"/>
  <c r="J7" i="31"/>
  <c r="G7" i="31"/>
  <c r="J6" i="31"/>
  <c r="G6" i="31"/>
  <c r="J5" i="31"/>
  <c r="G5" i="31"/>
  <c r="N12" i="32" l="1"/>
  <c r="N16" i="31"/>
  <c r="N20" i="32"/>
  <c r="N18" i="32"/>
  <c r="N17" i="32"/>
  <c r="N15" i="32"/>
  <c r="N14" i="32"/>
  <c r="N13" i="32"/>
  <c r="N11" i="32"/>
  <c r="N10" i="32"/>
  <c r="N9" i="32"/>
  <c r="N8" i="32"/>
  <c r="N20" i="31"/>
  <c r="N19" i="31"/>
  <c r="N18" i="31"/>
  <c r="N17" i="31"/>
  <c r="N15" i="31"/>
  <c r="N14" i="31"/>
  <c r="N13" i="31"/>
  <c r="N12" i="31"/>
  <c r="N11" i="31"/>
  <c r="N10" i="31"/>
  <c r="N9" i="31"/>
  <c r="N8" i="31"/>
  <c r="N7" i="31"/>
  <c r="N6" i="31"/>
  <c r="N5" i="31"/>
  <c r="N19" i="32"/>
  <c r="K16" i="23"/>
  <c r="K17" i="23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5" i="30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5" i="29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5" i="28"/>
  <c r="K20" i="27"/>
  <c r="K7" i="27"/>
  <c r="K6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5" i="27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20" i="23"/>
  <c r="K19" i="23"/>
  <c r="K18" i="23"/>
  <c r="K15" i="23"/>
  <c r="K14" i="23"/>
  <c r="K13" i="23"/>
  <c r="K12" i="23"/>
  <c r="K11" i="23"/>
  <c r="K10" i="23"/>
  <c r="K9" i="23"/>
  <c r="K8" i="23"/>
  <c r="K7" i="23"/>
  <c r="K6" i="23"/>
  <c r="K5" i="23"/>
  <c r="M6" i="30" l="1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5" i="30"/>
  <c r="M21" i="30"/>
  <c r="L20" i="30"/>
  <c r="J20" i="30"/>
  <c r="G20" i="30"/>
  <c r="L19" i="30"/>
  <c r="J19" i="30"/>
  <c r="G19" i="30"/>
  <c r="L18" i="30"/>
  <c r="J18" i="30"/>
  <c r="G18" i="30"/>
  <c r="L17" i="30"/>
  <c r="J17" i="30"/>
  <c r="G17" i="30"/>
  <c r="L16" i="30"/>
  <c r="J16" i="30"/>
  <c r="G16" i="30"/>
  <c r="L15" i="30"/>
  <c r="J15" i="30"/>
  <c r="G15" i="30"/>
  <c r="L14" i="30"/>
  <c r="J14" i="30"/>
  <c r="G14" i="30"/>
  <c r="L13" i="30"/>
  <c r="J13" i="30"/>
  <c r="G13" i="30"/>
  <c r="L12" i="30"/>
  <c r="J12" i="30"/>
  <c r="G12" i="30"/>
  <c r="L11" i="30"/>
  <c r="J11" i="30"/>
  <c r="G11" i="30"/>
  <c r="L10" i="30"/>
  <c r="J10" i="30"/>
  <c r="G10" i="30"/>
  <c r="L9" i="30"/>
  <c r="J9" i="30"/>
  <c r="G9" i="30"/>
  <c r="L8" i="30"/>
  <c r="J8" i="30"/>
  <c r="G8" i="30"/>
  <c r="L7" i="30"/>
  <c r="J7" i="30"/>
  <c r="G7" i="30"/>
  <c r="L6" i="30"/>
  <c r="J6" i="30"/>
  <c r="G6" i="30"/>
  <c r="L5" i="30"/>
  <c r="J5" i="30"/>
  <c r="G5" i="30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5" i="29"/>
  <c r="M21" i="29"/>
  <c r="L20" i="29"/>
  <c r="J20" i="29"/>
  <c r="G20" i="29"/>
  <c r="L19" i="29"/>
  <c r="J19" i="29"/>
  <c r="G19" i="29"/>
  <c r="L18" i="29"/>
  <c r="J18" i="29"/>
  <c r="G18" i="29"/>
  <c r="L17" i="29"/>
  <c r="J17" i="29"/>
  <c r="G17" i="29"/>
  <c r="L16" i="29"/>
  <c r="J16" i="29"/>
  <c r="G16" i="29"/>
  <c r="L15" i="29"/>
  <c r="J15" i="29"/>
  <c r="G15" i="29"/>
  <c r="L14" i="29"/>
  <c r="J14" i="29"/>
  <c r="G14" i="29"/>
  <c r="L13" i="29"/>
  <c r="J13" i="29"/>
  <c r="G13" i="29"/>
  <c r="L12" i="29"/>
  <c r="J12" i="29"/>
  <c r="G12" i="29"/>
  <c r="L11" i="29"/>
  <c r="J11" i="29"/>
  <c r="G11" i="29"/>
  <c r="L10" i="29"/>
  <c r="J10" i="29"/>
  <c r="G10" i="29"/>
  <c r="L9" i="29"/>
  <c r="J9" i="29"/>
  <c r="G9" i="29"/>
  <c r="L8" i="29"/>
  <c r="J8" i="29"/>
  <c r="G8" i="29"/>
  <c r="L7" i="29"/>
  <c r="J7" i="29"/>
  <c r="G7" i="29"/>
  <c r="L6" i="29"/>
  <c r="J6" i="29"/>
  <c r="G6" i="29"/>
  <c r="L5" i="29"/>
  <c r="J5" i="29"/>
  <c r="G5" i="29"/>
  <c r="M6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5" i="28"/>
  <c r="M21" i="28"/>
  <c r="L20" i="28"/>
  <c r="J20" i="28"/>
  <c r="G20" i="28"/>
  <c r="L19" i="28"/>
  <c r="J19" i="28"/>
  <c r="G19" i="28"/>
  <c r="L18" i="28"/>
  <c r="J18" i="28"/>
  <c r="G18" i="28"/>
  <c r="L17" i="28"/>
  <c r="J17" i="28"/>
  <c r="G17" i="28"/>
  <c r="L16" i="28"/>
  <c r="J16" i="28"/>
  <c r="G16" i="28"/>
  <c r="L15" i="28"/>
  <c r="J15" i="28"/>
  <c r="G15" i="28"/>
  <c r="L14" i="28"/>
  <c r="J14" i="28"/>
  <c r="G14" i="28"/>
  <c r="L13" i="28"/>
  <c r="J13" i="28"/>
  <c r="G13" i="28"/>
  <c r="L12" i="28"/>
  <c r="J12" i="28"/>
  <c r="G12" i="28"/>
  <c r="L11" i="28"/>
  <c r="J11" i="28"/>
  <c r="G11" i="28"/>
  <c r="L10" i="28"/>
  <c r="J10" i="28"/>
  <c r="G10" i="28"/>
  <c r="L9" i="28"/>
  <c r="J9" i="28"/>
  <c r="G9" i="28"/>
  <c r="L8" i="28"/>
  <c r="J8" i="28"/>
  <c r="G8" i="28"/>
  <c r="L7" i="28"/>
  <c r="J7" i="28"/>
  <c r="G7" i="28"/>
  <c r="L6" i="28"/>
  <c r="J6" i="28"/>
  <c r="G6" i="28"/>
  <c r="L5" i="28"/>
  <c r="J5" i="28"/>
  <c r="G5" i="28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5" i="27"/>
  <c r="M21" i="27"/>
  <c r="L20" i="27"/>
  <c r="J20" i="27"/>
  <c r="G20" i="27"/>
  <c r="L19" i="27"/>
  <c r="J19" i="27"/>
  <c r="G19" i="27"/>
  <c r="L18" i="27"/>
  <c r="J18" i="27"/>
  <c r="G18" i="27"/>
  <c r="L17" i="27"/>
  <c r="J17" i="27"/>
  <c r="G17" i="27"/>
  <c r="L16" i="27"/>
  <c r="J16" i="27"/>
  <c r="G16" i="27"/>
  <c r="L15" i="27"/>
  <c r="J15" i="27"/>
  <c r="G15" i="27"/>
  <c r="L14" i="27"/>
  <c r="J14" i="27"/>
  <c r="G14" i="27"/>
  <c r="L13" i="27"/>
  <c r="J13" i="27"/>
  <c r="G13" i="27"/>
  <c r="L12" i="27"/>
  <c r="J12" i="27"/>
  <c r="G12" i="27"/>
  <c r="L11" i="27"/>
  <c r="J11" i="27"/>
  <c r="G11" i="27"/>
  <c r="L10" i="27"/>
  <c r="J10" i="27"/>
  <c r="G10" i="27"/>
  <c r="L9" i="27"/>
  <c r="J9" i="27"/>
  <c r="G9" i="27"/>
  <c r="L8" i="27"/>
  <c r="J8" i="27"/>
  <c r="G8" i="27"/>
  <c r="L7" i="27"/>
  <c r="J7" i="27"/>
  <c r="G7" i="27"/>
  <c r="L6" i="27"/>
  <c r="J6" i="27"/>
  <c r="G6" i="27"/>
  <c r="L5" i="27"/>
  <c r="J5" i="27"/>
  <c r="G5" i="27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5" i="26"/>
  <c r="M21" i="26"/>
  <c r="L20" i="26"/>
  <c r="J20" i="26"/>
  <c r="G20" i="26"/>
  <c r="L19" i="26"/>
  <c r="J19" i="26"/>
  <c r="G19" i="26"/>
  <c r="L18" i="26"/>
  <c r="J18" i="26"/>
  <c r="G18" i="26"/>
  <c r="L17" i="26"/>
  <c r="J17" i="26"/>
  <c r="G17" i="26"/>
  <c r="L16" i="26"/>
  <c r="J16" i="26"/>
  <c r="G16" i="26"/>
  <c r="L15" i="26"/>
  <c r="J15" i="26"/>
  <c r="G15" i="26"/>
  <c r="L14" i="26"/>
  <c r="J14" i="26"/>
  <c r="G14" i="26"/>
  <c r="L13" i="26"/>
  <c r="J13" i="26"/>
  <c r="G13" i="26"/>
  <c r="L12" i="26"/>
  <c r="J12" i="26"/>
  <c r="G12" i="26"/>
  <c r="L11" i="26"/>
  <c r="J11" i="26"/>
  <c r="G11" i="26"/>
  <c r="L10" i="26"/>
  <c r="J10" i="26"/>
  <c r="G10" i="26"/>
  <c r="L9" i="26"/>
  <c r="J9" i="26"/>
  <c r="G9" i="26"/>
  <c r="L8" i="26"/>
  <c r="J8" i="26"/>
  <c r="G8" i="26"/>
  <c r="L7" i="26"/>
  <c r="J7" i="26"/>
  <c r="G7" i="26"/>
  <c r="L6" i="26"/>
  <c r="J6" i="26"/>
  <c r="G6" i="26"/>
  <c r="L5" i="26"/>
  <c r="J5" i="26"/>
  <c r="G5" i="26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5" i="25"/>
  <c r="M21" i="25"/>
  <c r="L20" i="25"/>
  <c r="J20" i="25"/>
  <c r="G20" i="25"/>
  <c r="L19" i="25"/>
  <c r="J19" i="25"/>
  <c r="G19" i="25"/>
  <c r="L18" i="25"/>
  <c r="J18" i="25"/>
  <c r="G18" i="25"/>
  <c r="L17" i="25"/>
  <c r="J17" i="25"/>
  <c r="G17" i="25"/>
  <c r="L16" i="25"/>
  <c r="J16" i="25"/>
  <c r="G16" i="25"/>
  <c r="L15" i="25"/>
  <c r="J15" i="25"/>
  <c r="G15" i="25"/>
  <c r="L14" i="25"/>
  <c r="J14" i="25"/>
  <c r="G14" i="25"/>
  <c r="L13" i="25"/>
  <c r="J13" i="25"/>
  <c r="G13" i="25"/>
  <c r="L12" i="25"/>
  <c r="J12" i="25"/>
  <c r="G12" i="25"/>
  <c r="L11" i="25"/>
  <c r="J11" i="25"/>
  <c r="G11" i="25"/>
  <c r="L10" i="25"/>
  <c r="J10" i="25"/>
  <c r="G10" i="25"/>
  <c r="L9" i="25"/>
  <c r="J9" i="25"/>
  <c r="G9" i="25"/>
  <c r="L8" i="25"/>
  <c r="J8" i="25"/>
  <c r="G8" i="25"/>
  <c r="L7" i="25"/>
  <c r="J7" i="25"/>
  <c r="G7" i="25"/>
  <c r="L6" i="25"/>
  <c r="J6" i="25"/>
  <c r="G6" i="25"/>
  <c r="L5" i="25"/>
  <c r="J5" i="25"/>
  <c r="G5" i="25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5" i="24"/>
  <c r="M21" i="24"/>
  <c r="L20" i="24"/>
  <c r="J20" i="24"/>
  <c r="G20" i="24"/>
  <c r="L19" i="24"/>
  <c r="J19" i="24"/>
  <c r="G19" i="24"/>
  <c r="L18" i="24"/>
  <c r="J18" i="24"/>
  <c r="G18" i="24"/>
  <c r="L17" i="24"/>
  <c r="J17" i="24"/>
  <c r="G17" i="24"/>
  <c r="L16" i="24"/>
  <c r="J16" i="24"/>
  <c r="G16" i="24"/>
  <c r="L15" i="24"/>
  <c r="J15" i="24"/>
  <c r="G15" i="24"/>
  <c r="L14" i="24"/>
  <c r="J14" i="24"/>
  <c r="G14" i="24"/>
  <c r="L13" i="24"/>
  <c r="J13" i="24"/>
  <c r="G13" i="24"/>
  <c r="L12" i="24"/>
  <c r="J12" i="24"/>
  <c r="G12" i="24"/>
  <c r="L11" i="24"/>
  <c r="J11" i="24"/>
  <c r="G11" i="24"/>
  <c r="L10" i="24"/>
  <c r="J10" i="24"/>
  <c r="G10" i="24"/>
  <c r="L9" i="24"/>
  <c r="J9" i="24"/>
  <c r="G9" i="24"/>
  <c r="L8" i="24"/>
  <c r="J8" i="24"/>
  <c r="G8" i="24"/>
  <c r="L7" i="24"/>
  <c r="J7" i="24"/>
  <c r="L6" i="24"/>
  <c r="J6" i="24"/>
  <c r="L5" i="24"/>
  <c r="J5" i="24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5" i="23"/>
  <c r="M21" i="23"/>
  <c r="L20" i="23"/>
  <c r="J20" i="23"/>
  <c r="G20" i="23"/>
  <c r="L19" i="23"/>
  <c r="J19" i="23"/>
  <c r="G19" i="23"/>
  <c r="L18" i="23"/>
  <c r="J18" i="23"/>
  <c r="G18" i="23"/>
  <c r="L17" i="23"/>
  <c r="J17" i="23"/>
  <c r="G17" i="23"/>
  <c r="L16" i="23"/>
  <c r="J16" i="23"/>
  <c r="G16" i="23"/>
  <c r="L15" i="23"/>
  <c r="J15" i="23"/>
  <c r="G15" i="23"/>
  <c r="L14" i="23"/>
  <c r="J14" i="23"/>
  <c r="G14" i="23"/>
  <c r="L13" i="23"/>
  <c r="J13" i="23"/>
  <c r="G13" i="23"/>
  <c r="L12" i="23"/>
  <c r="J12" i="23"/>
  <c r="G12" i="23"/>
  <c r="L11" i="23"/>
  <c r="J11" i="23"/>
  <c r="G11" i="23"/>
  <c r="L10" i="23"/>
  <c r="J10" i="23"/>
  <c r="G10" i="23"/>
  <c r="L9" i="23"/>
  <c r="J9" i="23"/>
  <c r="G9" i="23"/>
  <c r="L8" i="23"/>
  <c r="J8" i="23"/>
  <c r="G8" i="23"/>
  <c r="L7" i="23"/>
  <c r="J7" i="23"/>
  <c r="G7" i="23"/>
  <c r="L6" i="23"/>
  <c r="J6" i="23"/>
  <c r="G6" i="23"/>
  <c r="L5" i="23"/>
  <c r="J5" i="23"/>
  <c r="G5" i="23"/>
  <c r="N17" i="27" l="1"/>
  <c r="O17" i="28" s="1"/>
  <c r="N15" i="26"/>
  <c r="O15" i="27" s="1"/>
  <c r="N9" i="30"/>
  <c r="O9" i="31"/>
  <c r="N15" i="29"/>
  <c r="O15" i="30" s="1"/>
  <c r="N15" i="27"/>
  <c r="O15" i="28" s="1"/>
  <c r="N17" i="24"/>
  <c r="O17" i="25" s="1"/>
  <c r="N6" i="30"/>
  <c r="N16" i="26"/>
  <c r="O16" i="27" s="1"/>
  <c r="N7" i="28"/>
  <c r="O7" i="29" s="1"/>
  <c r="N8" i="28"/>
  <c r="O8" i="29" s="1"/>
  <c r="N15" i="24"/>
  <c r="O15" i="25" s="1"/>
  <c r="N13" i="29"/>
  <c r="O13" i="30" s="1"/>
  <c r="N5" i="30"/>
  <c r="N7" i="30"/>
  <c r="N12" i="29"/>
  <c r="O12" i="30" s="1"/>
  <c r="N20" i="29"/>
  <c r="O20" i="30" s="1"/>
  <c r="N5" i="29"/>
  <c r="O5" i="30" s="1"/>
  <c r="N12" i="28"/>
  <c r="O12" i="29" s="1"/>
  <c r="N5" i="28"/>
  <c r="O5" i="29" s="1"/>
  <c r="N13" i="27"/>
  <c r="O13" i="28" s="1"/>
  <c r="O8" i="25"/>
  <c r="N17" i="23"/>
  <c r="O17" i="24" s="1"/>
  <c r="N19" i="30"/>
  <c r="N16" i="30"/>
  <c r="N15" i="30"/>
  <c r="N14" i="30"/>
  <c r="N13" i="30"/>
  <c r="N12" i="30"/>
  <c r="N11" i="30"/>
  <c r="N10" i="30"/>
  <c r="N8" i="30"/>
  <c r="N17" i="29"/>
  <c r="O17" i="30" s="1"/>
  <c r="N16" i="29"/>
  <c r="O16" i="30" s="1"/>
  <c r="N14" i="29"/>
  <c r="O14" i="30" s="1"/>
  <c r="N8" i="29"/>
  <c r="O8" i="30" s="1"/>
  <c r="N7" i="29"/>
  <c r="O7" i="30" s="1"/>
  <c r="N6" i="29"/>
  <c r="O6" i="30" s="1"/>
  <c r="N20" i="28"/>
  <c r="O20" i="29" s="1"/>
  <c r="N17" i="28"/>
  <c r="O17" i="29" s="1"/>
  <c r="N16" i="28"/>
  <c r="O16" i="29" s="1"/>
  <c r="N15" i="28"/>
  <c r="O15" i="29" s="1"/>
  <c r="N14" i="28"/>
  <c r="O14" i="29" s="1"/>
  <c r="N13" i="28"/>
  <c r="O13" i="29" s="1"/>
  <c r="N6" i="28"/>
  <c r="O6" i="29" s="1"/>
  <c r="N20" i="27"/>
  <c r="O20" i="28" s="1"/>
  <c r="N14" i="27"/>
  <c r="O14" i="28" s="1"/>
  <c r="N12" i="27"/>
  <c r="O12" i="28" s="1"/>
  <c r="N8" i="27"/>
  <c r="O8" i="28" s="1"/>
  <c r="N7" i="27"/>
  <c r="O7" i="28" s="1"/>
  <c r="N6" i="27"/>
  <c r="O6" i="28" s="1"/>
  <c r="N5" i="27"/>
  <c r="O5" i="28" s="1"/>
  <c r="N10" i="26"/>
  <c r="O10" i="27" s="1"/>
  <c r="N19" i="26"/>
  <c r="O19" i="27" s="1"/>
  <c r="N17" i="26"/>
  <c r="O17" i="27" s="1"/>
  <c r="N14" i="26"/>
  <c r="O14" i="27" s="1"/>
  <c r="N13" i="26"/>
  <c r="O13" i="27" s="1"/>
  <c r="N9" i="26"/>
  <c r="O9" i="27" s="1"/>
  <c r="N8" i="26"/>
  <c r="O8" i="27" s="1"/>
  <c r="N7" i="26"/>
  <c r="O7" i="27" s="1"/>
  <c r="N6" i="26"/>
  <c r="O6" i="27" s="1"/>
  <c r="N5" i="26"/>
  <c r="O5" i="27" s="1"/>
  <c r="N6" i="25"/>
  <c r="O6" i="26" s="1"/>
  <c r="N20" i="25"/>
  <c r="O20" i="26" s="1"/>
  <c r="N17" i="25"/>
  <c r="O17" i="26" s="1"/>
  <c r="N16" i="25"/>
  <c r="O16" i="26" s="1"/>
  <c r="N15" i="25"/>
  <c r="O15" i="26" s="1"/>
  <c r="N14" i="25"/>
  <c r="O14" i="26" s="1"/>
  <c r="N13" i="25"/>
  <c r="O13" i="26" s="1"/>
  <c r="N12" i="25"/>
  <c r="O12" i="26" s="1"/>
  <c r="N8" i="25"/>
  <c r="O8" i="26" s="1"/>
  <c r="N7" i="25"/>
  <c r="O7" i="26" s="1"/>
  <c r="N5" i="25"/>
  <c r="O5" i="26" s="1"/>
  <c r="N20" i="24"/>
  <c r="O20" i="25" s="1"/>
  <c r="N16" i="24"/>
  <c r="O16" i="25" s="1"/>
  <c r="N14" i="24"/>
  <c r="O14" i="25" s="1"/>
  <c r="N13" i="24"/>
  <c r="O13" i="25" s="1"/>
  <c r="N12" i="24"/>
  <c r="O12" i="25" s="1"/>
  <c r="O7" i="25"/>
  <c r="O6" i="25"/>
  <c r="O5" i="25"/>
  <c r="N9" i="23"/>
  <c r="O9" i="24" s="1"/>
  <c r="N7" i="23"/>
  <c r="O7" i="24" s="1"/>
  <c r="N17" i="30"/>
  <c r="N20" i="30"/>
  <c r="N18" i="30"/>
  <c r="N10" i="29"/>
  <c r="O10" i="30" s="1"/>
  <c r="N19" i="29"/>
  <c r="O19" i="30" s="1"/>
  <c r="N11" i="29"/>
  <c r="O11" i="30" s="1"/>
  <c r="N9" i="29"/>
  <c r="O9" i="30" s="1"/>
  <c r="N18" i="29"/>
  <c r="O18" i="30" s="1"/>
  <c r="N10" i="28"/>
  <c r="O10" i="29" s="1"/>
  <c r="N19" i="28"/>
  <c r="O19" i="29" s="1"/>
  <c r="N11" i="28"/>
  <c r="O11" i="29" s="1"/>
  <c r="N9" i="28"/>
  <c r="O9" i="29" s="1"/>
  <c r="N18" i="28"/>
  <c r="O18" i="29" s="1"/>
  <c r="N9" i="27"/>
  <c r="O9" i="28" s="1"/>
  <c r="N19" i="27"/>
  <c r="O19" i="28" s="1"/>
  <c r="N10" i="27"/>
  <c r="O10" i="28" s="1"/>
  <c r="N11" i="27"/>
  <c r="O11" i="28" s="1"/>
  <c r="N18" i="27"/>
  <c r="O18" i="28" s="1"/>
  <c r="N16" i="27"/>
  <c r="O16" i="28" s="1"/>
  <c r="N18" i="26"/>
  <c r="O18" i="27" s="1"/>
  <c r="N12" i="26"/>
  <c r="O12" i="27" s="1"/>
  <c r="N11" i="26"/>
  <c r="O11" i="27" s="1"/>
  <c r="N20" i="26"/>
  <c r="O20" i="27" s="1"/>
  <c r="N10" i="25"/>
  <c r="O10" i="26" s="1"/>
  <c r="N19" i="25"/>
  <c r="O19" i="26" s="1"/>
  <c r="N9" i="25"/>
  <c r="O9" i="26" s="1"/>
  <c r="N18" i="25"/>
  <c r="O18" i="26" s="1"/>
  <c r="N11" i="25"/>
  <c r="O11" i="26" s="1"/>
  <c r="N10" i="24"/>
  <c r="O10" i="25" s="1"/>
  <c r="N19" i="24"/>
  <c r="O19" i="25" s="1"/>
  <c r="N11" i="24"/>
  <c r="O11" i="25" s="1"/>
  <c r="N9" i="24"/>
  <c r="O9" i="25" s="1"/>
  <c r="N18" i="24"/>
  <c r="O18" i="25" s="1"/>
  <c r="N8" i="23"/>
  <c r="O8" i="24" s="1"/>
  <c r="N16" i="23"/>
  <c r="O16" i="24" s="1"/>
  <c r="N6" i="23"/>
  <c r="O6" i="24" s="1"/>
  <c r="N10" i="23"/>
  <c r="O10" i="24" s="1"/>
  <c r="N18" i="23"/>
  <c r="O18" i="24" s="1"/>
  <c r="N15" i="23"/>
  <c r="O15" i="24" s="1"/>
  <c r="N13" i="23"/>
  <c r="O13" i="24" s="1"/>
  <c r="N20" i="23"/>
  <c r="O20" i="24" s="1"/>
  <c r="N12" i="23"/>
  <c r="O12" i="24" s="1"/>
  <c r="N19" i="23"/>
  <c r="O19" i="24" s="1"/>
  <c r="N11" i="23"/>
  <c r="O11" i="24" s="1"/>
  <c r="N14" i="23"/>
  <c r="O14" i="24" s="1"/>
  <c r="N5" i="23"/>
  <c r="O5" i="24" s="1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6" i="22"/>
  <c r="M5" i="22"/>
  <c r="O20" i="31" l="1"/>
  <c r="O19" i="31"/>
  <c r="O18" i="31"/>
  <c r="O17" i="31"/>
  <c r="O16" i="31"/>
  <c r="O15" i="31"/>
  <c r="O14" i="31"/>
  <c r="O13" i="31"/>
  <c r="O12" i="31"/>
  <c r="O11" i="31"/>
  <c r="O10" i="31"/>
  <c r="O8" i="31"/>
  <c r="O7" i="31"/>
  <c r="O6" i="31"/>
  <c r="O5" i="31"/>
  <c r="K20" i="22"/>
  <c r="L20" i="22" s="1"/>
  <c r="K19" i="22"/>
  <c r="L19" i="22" s="1"/>
  <c r="K18" i="22"/>
  <c r="L18" i="22" s="1"/>
  <c r="K17" i="22"/>
  <c r="L17" i="22" s="1"/>
  <c r="K16" i="22"/>
  <c r="L16" i="22" s="1"/>
  <c r="K15" i="22"/>
  <c r="L15" i="22" s="1"/>
  <c r="K14" i="22"/>
  <c r="L14" i="22" s="1"/>
  <c r="K13" i="22"/>
  <c r="L13" i="22" s="1"/>
  <c r="K12" i="22"/>
  <c r="L12" i="22" s="1"/>
  <c r="K11" i="22"/>
  <c r="L11" i="22" s="1"/>
  <c r="K10" i="22"/>
  <c r="L10" i="22" s="1"/>
  <c r="K9" i="22"/>
  <c r="L9" i="22" s="1"/>
  <c r="K8" i="22"/>
  <c r="L8" i="22" s="1"/>
  <c r="K7" i="22"/>
  <c r="L7" i="22" s="1"/>
  <c r="L6" i="22"/>
  <c r="K5" i="22"/>
  <c r="L5" i="22" s="1"/>
  <c r="M21" i="22"/>
  <c r="J20" i="22"/>
  <c r="G20" i="22"/>
  <c r="J19" i="22"/>
  <c r="G19" i="22"/>
  <c r="J18" i="22"/>
  <c r="G18" i="22"/>
  <c r="J17" i="22"/>
  <c r="G17" i="22"/>
  <c r="J16" i="22"/>
  <c r="G16" i="22"/>
  <c r="J15" i="22"/>
  <c r="G15" i="22"/>
  <c r="J14" i="22"/>
  <c r="G14" i="22"/>
  <c r="J13" i="22"/>
  <c r="G13" i="22"/>
  <c r="J12" i="22"/>
  <c r="G12" i="22"/>
  <c r="J11" i="22"/>
  <c r="G11" i="22"/>
  <c r="J10" i="22"/>
  <c r="G10" i="22"/>
  <c r="J9" i="22"/>
  <c r="G9" i="22"/>
  <c r="J8" i="22"/>
  <c r="G8" i="22"/>
  <c r="J7" i="22"/>
  <c r="G7" i="22"/>
  <c r="J6" i="22"/>
  <c r="G6" i="22"/>
  <c r="J5" i="22"/>
  <c r="G5" i="22"/>
  <c r="N18" i="22" l="1"/>
  <c r="O18" i="23" s="1"/>
  <c r="N10" i="22"/>
  <c r="O10" i="23" s="1"/>
  <c r="N6" i="22"/>
  <c r="O6" i="23" s="1"/>
  <c r="N14" i="22"/>
  <c r="O14" i="23" s="1"/>
  <c r="N8" i="22"/>
  <c r="O8" i="23" s="1"/>
  <c r="N12" i="22"/>
  <c r="O12" i="23" s="1"/>
  <c r="N5" i="22"/>
  <c r="O5" i="23" s="1"/>
  <c r="N7" i="22"/>
  <c r="O7" i="23" s="1"/>
  <c r="N9" i="22"/>
  <c r="O9" i="23" s="1"/>
  <c r="N11" i="22"/>
  <c r="O11" i="23" s="1"/>
  <c r="N13" i="22"/>
  <c r="O13" i="23" s="1"/>
  <c r="N15" i="22"/>
  <c r="O15" i="23" s="1"/>
  <c r="N17" i="22"/>
  <c r="O17" i="23" s="1"/>
  <c r="N19" i="22"/>
  <c r="O19" i="23" s="1"/>
  <c r="N20" i="22"/>
  <c r="O20" i="23" s="1"/>
  <c r="N16" i="22"/>
  <c r="O16" i="23" s="1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5" i="20"/>
  <c r="K6" i="20" l="1"/>
  <c r="L6" i="20" s="1"/>
  <c r="J6" i="20"/>
  <c r="K5" i="20" l="1"/>
  <c r="L5" i="20" s="1"/>
  <c r="K20" i="20" l="1"/>
  <c r="L20" i="20" s="1"/>
  <c r="K19" i="20"/>
  <c r="L19" i="20" s="1"/>
  <c r="K18" i="20"/>
  <c r="L18" i="20" s="1"/>
  <c r="K17" i="20"/>
  <c r="L17" i="20" s="1"/>
  <c r="K16" i="20"/>
  <c r="L16" i="20" s="1"/>
  <c r="K15" i="20"/>
  <c r="L15" i="20" s="1"/>
  <c r="K14" i="20"/>
  <c r="L14" i="20" s="1"/>
  <c r="K13" i="20"/>
  <c r="L13" i="20" s="1"/>
  <c r="K12" i="20"/>
  <c r="L12" i="20" s="1"/>
  <c r="K11" i="20"/>
  <c r="L11" i="20" s="1"/>
  <c r="K10" i="20"/>
  <c r="L10" i="20" s="1"/>
  <c r="K9" i="20"/>
  <c r="L9" i="20" s="1"/>
  <c r="K8" i="20"/>
  <c r="L8" i="20" s="1"/>
  <c r="K7" i="20"/>
  <c r="L7" i="20" s="1"/>
  <c r="M21" i="20" l="1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G12" i="20"/>
  <c r="J11" i="20"/>
  <c r="G11" i="20"/>
  <c r="J10" i="20"/>
  <c r="G10" i="20"/>
  <c r="J9" i="20"/>
  <c r="G9" i="20"/>
  <c r="J8" i="20"/>
  <c r="G8" i="20"/>
  <c r="J7" i="20"/>
  <c r="G7" i="20"/>
  <c r="G6" i="20"/>
  <c r="N6" i="20" s="1"/>
  <c r="O6" i="22" s="1"/>
  <c r="J5" i="20"/>
  <c r="G5" i="20"/>
  <c r="N14" i="20" l="1"/>
  <c r="O14" i="22" s="1"/>
  <c r="N11" i="20"/>
  <c r="O11" i="22" s="1"/>
  <c r="N7" i="20"/>
  <c r="O7" i="22" s="1"/>
  <c r="N20" i="20"/>
  <c r="O20" i="22" s="1"/>
  <c r="N19" i="20"/>
  <c r="O19" i="22" s="1"/>
  <c r="N18" i="20"/>
  <c r="O18" i="22" s="1"/>
  <c r="N17" i="20"/>
  <c r="O17" i="22" s="1"/>
  <c r="N16" i="20"/>
  <c r="O16" i="22" s="1"/>
  <c r="N15" i="20"/>
  <c r="O15" i="22" s="1"/>
  <c r="N13" i="20"/>
  <c r="O13" i="22" s="1"/>
  <c r="N12" i="20"/>
  <c r="O12" i="22" s="1"/>
  <c r="N10" i="20"/>
  <c r="O10" i="22" s="1"/>
  <c r="N9" i="20"/>
  <c r="O9" i="22" s="1"/>
  <c r="N8" i="20"/>
  <c r="O8" i="22" s="1"/>
  <c r="N5" i="20"/>
  <c r="O5" i="22" s="1"/>
</calcChain>
</file>

<file path=xl/sharedStrings.xml><?xml version="1.0" encoding="utf-8"?>
<sst xmlns="http://schemas.openxmlformats.org/spreadsheetml/2006/main" count="804" uniqueCount="92">
  <si>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</si>
  <si>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</si>
  <si>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2. ถ้า NWC และ NI+Depreciation ติดลบ      Suvive Index จะ = 2</t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</si>
  <si>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</si>
  <si>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หนี้สินหมุนเวียน</t>
  </si>
  <si>
    <t>มาจากงบดุล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</si>
  <si>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</si>
  <si>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</si>
  <si>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</si>
  <si>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</si>
  <si>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</si>
  <si>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</si>
  <si>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</si>
  <si>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>บ้านแพรก,รพช.</t>
  </si>
  <si>
    <t>มหาราช,รพช.</t>
  </si>
  <si>
    <t>อุทัย,รพช.</t>
  </si>
  <si>
    <t>บางซ้าย,รพช.</t>
  </si>
  <si>
    <t>วังน้อย,รพช.</t>
  </si>
  <si>
    <t>ลาดบัวหลวง</t>
  </si>
  <si>
    <t>ภาชี,รพช</t>
  </si>
  <si>
    <t>ผักไห่,รพช.</t>
  </si>
  <si>
    <t>บางปะหัน,รพช.</t>
  </si>
  <si>
    <t>บางปะอิน,รพช.</t>
  </si>
  <si>
    <t>บางบาล,รพช.</t>
  </si>
  <si>
    <t>บางไทร,รพช.</t>
  </si>
  <si>
    <t>สมเด็จฯ,รพช.</t>
  </si>
  <si>
    <t>ท่าเรือ,รพช.</t>
  </si>
  <si>
    <t>รพท.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</si>
  <si>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</si>
  <si>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</si>
  <si>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</si>
  <si>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</si>
  <si>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</si>
  <si>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</si>
  <si>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</si>
  <si>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</si>
  <si>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</si>
  <si>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</si>
  <si>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</si>
  <si>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</si>
  <si>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</si>
  <si>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</si>
  <si>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</si>
  <si>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</si>
  <si>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</si>
  <si>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</si>
  <si>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</si>
  <si>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</si>
  <si>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</si>
  <si>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</si>
  <si>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</si>
  <si>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</si>
  <si>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</si>
  <si>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</si>
  <si>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</si>
  <si>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</si>
  <si>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EBITDA</t>
  </si>
  <si>
    <t>ผลการประเมินภาวะวิกฤติ เดือน ตุลาคม 2564</t>
  </si>
  <si>
    <t>Risk Scoring ต.ค.64</t>
  </si>
  <si>
    <t>Risk Scoring เดือน ก.ย.64</t>
  </si>
  <si>
    <t>ผลการประเมินภาวะวิกฤติ เดือน พฤศจิกายน 2564</t>
  </si>
  <si>
    <t>Risk Scoring พ.ย.64</t>
  </si>
  <si>
    <t>Risk Scoring เดือน ต.ค.64</t>
  </si>
  <si>
    <t>ผลการประเมินภาวะวิกฤติ เดือน ธันวาคม  2564</t>
  </si>
  <si>
    <t>Risk Scoring ธ.ค.64</t>
  </si>
  <si>
    <t>Risk Scoring เดือน พ.ย.64</t>
  </si>
  <si>
    <t>ผลการประเมินภาวะวิกฤติ เดือน มกราคม ปีงบประมาณ 2565</t>
  </si>
  <si>
    <t>Risk Scoring ม.ค.65</t>
  </si>
  <si>
    <t>Risk Scoring เดือน ธ.ค.64</t>
  </si>
  <si>
    <t>ผลการประเมินภาวะวิกฤติ เดือน กุมภาพันธ์ ปีงบประมาณ 2565</t>
  </si>
  <si>
    <t>Risk Scoring ก.พ.65</t>
  </si>
  <si>
    <t>Risk Scoring เดือน ม.ค.65</t>
  </si>
  <si>
    <t>ผลการประเมินภาวะวิกฤติ เดือน มีนาคม ปีงบประมาณ 2565</t>
  </si>
  <si>
    <t>Risk Scoring มี.ค.65</t>
  </si>
  <si>
    <t>Risk Scoring เดือน ก.พ.65</t>
  </si>
  <si>
    <t>Risk Scoring เม.ย.65</t>
  </si>
  <si>
    <t>Risk Scoring เดือน มี.ค.65</t>
  </si>
  <si>
    <t>ผลการประเมินภาวะวิกฤติ เดือน พฤษภาคม ปีงบประมาณ 2565</t>
  </si>
  <si>
    <t>Risk Scoring พ.ค.65</t>
  </si>
  <si>
    <t>Risk Scoring เดือน เม.ย.65</t>
  </si>
  <si>
    <t>ผลการประเมินภาวะวิกฤติ เดือน มิถุนายน ปีงบประมาณ 2565</t>
  </si>
  <si>
    <t>Risk Scoring มิ.ย.65</t>
  </si>
  <si>
    <t>Risk Scoring เดือน พ.ค.65</t>
  </si>
  <si>
    <t>ผลการประเมินภาวะวิกฤติ เดือน กรกฏาคม ปีงบประมาณ 2565</t>
  </si>
  <si>
    <t>Risk Scoring ก.ค.65</t>
  </si>
  <si>
    <t>Risk Scoring เดือน มิ.ย.65</t>
  </si>
  <si>
    <t>ผลการประเมินภาวะวิกฤติ เดือน สิงหาคม ปีงบประมาณ 2565</t>
  </si>
  <si>
    <t>Risk Scoring ส.ค.65</t>
  </si>
  <si>
    <t>Risk Scoring เดือน ก.ค.65</t>
  </si>
  <si>
    <t>ผลการประเมินภาวะวิกฤติ เดือน กันยายน ปีงบประมาณ 2565</t>
  </si>
  <si>
    <t>Risk Scoring ก.ย.65</t>
  </si>
  <si>
    <t>Risk Scoring เดือน ส.ค.65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</si>
</sst>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0.0"/>
    <numFmt numFmtId="190" formatCode="#,##0.00,,"/>
    <numFmt numFmtId="191" formatCode="[$-1070000]d/mm/yyyy;@"/>
  </numFmts>
  <fonts count="3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scheme val="minor"/>
    </font>
    <font>
      <sz val="14"/>
      <color rgb="FFFF0000"/>
      <name val="Tahoma"/>
      <family val="2"/>
      <scheme val="minor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name val="Arial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  <font>
      <b/>
      <sz val="18"/>
      <color rgb="FF0000FF"/>
      <name val="TH SarabunPSK"/>
      <family val="2"/>
    </font>
    <font>
      <b/>
      <sz val="18"/>
      <color rgb="FFF5273B"/>
      <name val="TH SarabunPSK"/>
      <family val="2"/>
    </font>
    <font>
      <b/>
      <sz val="20"/>
      <name val="TH SarabunPSK"/>
      <family val="2"/>
    </font>
    <font>
      <b/>
      <sz val="20"/>
      <color rgb="FFFF0000"/>
      <name val="TH SarabunPSK"/>
      <family val="2"/>
    </font>
    <font>
      <b/>
      <sz val="20"/>
      <color theme="1"/>
      <name val="TH SarabunPSK"/>
      <family val="2"/>
    </font>
    <font>
      <b/>
      <sz val="20"/>
      <color rgb="FFF5273B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 style="medium">
        <color theme="8" tint="0.39997558519241921"/>
      </right>
      <top/>
      <bottom/>
      <diagonal/>
    </border>
    <border>
      <left/>
      <right/>
      <top/>
      <bottom style="medium">
        <color theme="8" tint="0.39997558519241921"/>
      </bottom>
      <diagonal/>
    </border>
    <border>
      <left/>
      <right/>
      <top style="medium">
        <color theme="8" tint="0.59999389629810485"/>
      </top>
      <bottom style="thin">
        <color indexed="64"/>
      </bottom>
      <diagonal/>
    </border>
    <border>
      <left style="medium">
        <color theme="8" tint="0.59999389629810485"/>
      </left>
      <right style="medium">
        <color theme="8" tint="0.39991454817346722"/>
      </right>
      <top/>
      <bottom style="medium">
        <color theme="8" tint="0.59999389629810485"/>
      </bottom>
      <diagonal/>
    </border>
    <border>
      <left style="medium">
        <color theme="8" tint="0.39997558519241921"/>
      </left>
      <right/>
      <top style="medium">
        <color theme="8" tint="0.39997558519241921"/>
      </top>
      <bottom style="medium">
        <color theme="8" tint="0.39997558519241921"/>
      </bottom>
      <diagonal/>
    </border>
    <border>
      <left/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8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theme="8" tint="0.39997558519241921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143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4" fillId="0" borderId="5" xfId="0" applyFont="1" applyBorder="1" applyAlignment="1">
      <alignment horizontal="left" wrapText="1" readingOrder="1"/>
    </xf>
    <xf numFmtId="190" fontId="2" fillId="0" borderId="0" xfId="0" applyNumberFormat="1" applyFont="1" applyAlignment="1"/>
    <xf numFmtId="190" fontId="2" fillId="0" borderId="0" xfId="0" applyNumberFormat="1" applyFont="1"/>
    <xf numFmtId="190" fontId="2" fillId="0" borderId="1" xfId="0" applyNumberFormat="1" applyFont="1" applyBorder="1"/>
    <xf numFmtId="190" fontId="2" fillId="0" borderId="1" xfId="0" applyNumberFormat="1" applyFont="1" applyBorder="1" applyAlignment="1"/>
    <xf numFmtId="0" fontId="12" fillId="0" borderId="0" xfId="0" applyFont="1"/>
    <xf numFmtId="2" fontId="12" fillId="0" borderId="0" xfId="0" applyNumberFormat="1" applyFont="1"/>
    <xf numFmtId="17" fontId="12" fillId="0" borderId="0" xfId="0" applyNumberFormat="1" applyFont="1" applyBorder="1" applyAlignment="1">
      <alignment horizontal="center"/>
    </xf>
    <xf numFmtId="43" fontId="12" fillId="0" borderId="0" xfId="1" applyFont="1" applyFill="1" applyBorder="1"/>
    <xf numFmtId="43" fontId="12" fillId="0" borderId="0" xfId="1" applyFont="1"/>
    <xf numFmtId="43" fontId="16" fillId="0" borderId="0" xfId="1" applyFont="1" applyFill="1" applyBorder="1" applyAlignment="1">
      <alignment horizontal="center" vertical="center"/>
    </xf>
    <xf numFmtId="187" fontId="16" fillId="0" borderId="0" xfId="1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43" fontId="17" fillId="0" borderId="1" xfId="1" applyFont="1" applyFill="1" applyBorder="1" applyAlignment="1"/>
    <xf numFmtId="43" fontId="17" fillId="0" borderId="1" xfId="1" applyFont="1" applyBorder="1" applyAlignment="1"/>
    <xf numFmtId="0" fontId="12" fillId="0" borderId="0" xfId="0" applyFont="1" applyAlignment="1">
      <alignment horizontal="left" vertical="center"/>
    </xf>
    <xf numFmtId="43" fontId="17" fillId="0" borderId="1" xfId="1" applyFont="1" applyFill="1" applyBorder="1" applyAlignment="1">
      <alignment vertical="center"/>
    </xf>
    <xf numFmtId="43" fontId="17" fillId="0" borderId="4" xfId="1" applyFont="1" applyBorder="1" applyAlignment="1"/>
    <xf numFmtId="0" fontId="9" fillId="0" borderId="0" xfId="0" applyFont="1" applyAlignment="1">
      <alignment vertical="top"/>
    </xf>
    <xf numFmtId="43" fontId="17" fillId="0" borderId="2" xfId="1" applyFont="1" applyBorder="1" applyAlignment="1">
      <alignment horizontal="left" vertical="center"/>
    </xf>
    <xf numFmtId="43" fontId="17" fillId="0" borderId="2" xfId="1" applyFont="1" applyBorder="1" applyAlignment="1">
      <alignment vertical="center"/>
    </xf>
    <xf numFmtId="187" fontId="16" fillId="0" borderId="2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187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43" fontId="17" fillId="0" borderId="0" xfId="1" applyFont="1"/>
    <xf numFmtId="43" fontId="23" fillId="0" borderId="0" xfId="1" applyFont="1" applyFill="1"/>
    <xf numFmtId="0" fontId="23" fillId="0" borderId="0" xfId="0" applyFont="1" applyFill="1" applyAlignment="1">
      <alignment horizontal="center"/>
    </xf>
    <xf numFmtId="43" fontId="17" fillId="0" borderId="3" xfId="1" applyFont="1" applyBorder="1" applyAlignment="1">
      <alignment horizontal="left" vertical="center"/>
    </xf>
    <xf numFmtId="43" fontId="16" fillId="0" borderId="4" xfId="1" applyFont="1" applyBorder="1" applyAlignment="1">
      <alignment horizontal="center" vertical="center"/>
    </xf>
    <xf numFmtId="0" fontId="9" fillId="0" borderId="0" xfId="0" applyFont="1" applyBorder="1"/>
    <xf numFmtId="0" fontId="12" fillId="0" borderId="7" xfId="0" applyFont="1" applyBorder="1" applyAlignment="1">
      <alignment horizontal="center"/>
    </xf>
    <xf numFmtId="191" fontId="9" fillId="0" borderId="0" xfId="0" applyNumberFormat="1" applyFont="1" applyBorder="1" applyAlignment="1">
      <alignment horizontal="left"/>
    </xf>
    <xf numFmtId="0" fontId="10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" fontId="9" fillId="0" borderId="8" xfId="0" applyNumberFormat="1" applyFont="1" applyFill="1" applyBorder="1" applyAlignment="1">
      <alignment horizontal="center" vertical="center" wrapText="1" readingOrder="1"/>
    </xf>
    <xf numFmtId="188" fontId="10" fillId="2" borderId="8" xfId="0" applyNumberFormat="1" applyFont="1" applyFill="1" applyBorder="1" applyAlignment="1">
      <alignment horizontal="center" vertical="center" wrapText="1" readingOrder="1"/>
    </xf>
    <xf numFmtId="3" fontId="9" fillId="0" borderId="8" xfId="0" applyNumberFormat="1" applyFont="1" applyFill="1" applyBorder="1" applyAlignment="1">
      <alignment horizontal="center" vertical="center" wrapText="1" readingOrder="1"/>
    </xf>
    <xf numFmtId="0" fontId="11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4" fontId="11" fillId="0" borderId="8" xfId="0" applyNumberFormat="1" applyFont="1" applyFill="1" applyBorder="1" applyAlignment="1">
      <alignment horizontal="center" vertical="center" wrapText="1" readingOrder="1"/>
    </xf>
    <xf numFmtId="43" fontId="16" fillId="0" borderId="4" xfId="1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center" vertical="center"/>
    </xf>
    <xf numFmtId="4" fontId="11" fillId="0" borderId="8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43" fontId="16" fillId="0" borderId="4" xfId="1" applyFont="1" applyBorder="1" applyAlignment="1">
      <alignment horizontal="center" vertical="center"/>
    </xf>
    <xf numFmtId="0" fontId="12" fillId="0" borderId="0" xfId="0" applyFont="1" applyBorder="1" applyAlignment="1"/>
    <xf numFmtId="0" fontId="7" fillId="0" borderId="8" xfId="0" applyFont="1" applyBorder="1" applyAlignment="1">
      <alignment horizontal="left" vertical="center" wrapText="1" readingOrder="1"/>
    </xf>
    <xf numFmtId="0" fontId="7" fillId="0" borderId="8" xfId="0" applyFont="1" applyFill="1" applyBorder="1" applyAlignment="1">
      <alignment horizontal="left" vertical="center" wrapText="1" readingOrder="1"/>
    </xf>
    <xf numFmtId="0" fontId="11" fillId="0" borderId="8" xfId="0" applyFont="1" applyFill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/>
    </xf>
    <xf numFmtId="0" fontId="9" fillId="0" borderId="0" xfId="0" applyFont="1" applyBorder="1" applyAlignment="1"/>
    <xf numFmtId="14" fontId="9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27" fillId="0" borderId="8" xfId="0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4" fontId="26" fillId="0" borderId="8" xfId="0" applyNumberFormat="1" applyFont="1" applyBorder="1" applyAlignment="1">
      <alignment horizontal="center" vertical="center"/>
    </xf>
    <xf numFmtId="187" fontId="16" fillId="0" borderId="13" xfId="1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43" fontId="16" fillId="0" borderId="4" xfId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 readingOrder="1"/>
    </xf>
    <xf numFmtId="0" fontId="28" fillId="0" borderId="8" xfId="0" applyFont="1" applyBorder="1" applyAlignment="1">
      <alignment horizontal="center" vertical="center"/>
    </xf>
    <xf numFmtId="4" fontId="28" fillId="0" borderId="8" xfId="0" applyNumberFormat="1" applyFont="1" applyFill="1" applyBorder="1" applyAlignment="1">
      <alignment horizontal="center" vertical="center" wrapText="1" readingOrder="1"/>
    </xf>
    <xf numFmtId="188" fontId="29" fillId="2" borderId="8" xfId="0" applyNumberFormat="1" applyFont="1" applyFill="1" applyBorder="1" applyAlignment="1">
      <alignment horizontal="center" vertical="center" wrapText="1" readingOrder="1"/>
    </xf>
    <xf numFmtId="3" fontId="30" fillId="0" borderId="8" xfId="0" applyNumberFormat="1" applyFont="1" applyFill="1" applyBorder="1" applyAlignment="1">
      <alignment horizontal="center" vertical="center" wrapText="1" readingOrder="1"/>
    </xf>
    <xf numFmtId="0" fontId="28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 readingOrder="1"/>
    </xf>
    <xf numFmtId="4" fontId="29" fillId="0" borderId="8" xfId="0" applyNumberFormat="1" applyFont="1" applyBorder="1" applyAlignment="1">
      <alignment horizontal="center" vertical="center"/>
    </xf>
    <xf numFmtId="4" fontId="28" fillId="0" borderId="8" xfId="0" applyNumberFormat="1" applyFont="1" applyBorder="1" applyAlignment="1">
      <alignment horizontal="center" vertical="center"/>
    </xf>
    <xf numFmtId="2" fontId="28" fillId="0" borderId="8" xfId="0" applyNumberFormat="1" applyFont="1" applyBorder="1" applyAlignment="1">
      <alignment horizontal="center" vertical="center"/>
    </xf>
    <xf numFmtId="4" fontId="31" fillId="0" borderId="8" xfId="0" applyNumberFormat="1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4" fontId="31" fillId="0" borderId="8" xfId="0" applyNumberFormat="1" applyFont="1" applyFill="1" applyBorder="1" applyAlignment="1">
      <alignment horizontal="center" vertical="center" wrapText="1" readingOrder="1"/>
    </xf>
    <xf numFmtId="188" fontId="11" fillId="2" borderId="8" xfId="0" applyNumberFormat="1" applyFont="1" applyFill="1" applyBorder="1" applyAlignment="1">
      <alignment horizontal="center" vertical="center" wrapText="1" readingOrder="1"/>
    </xf>
    <xf numFmtId="4" fontId="11" fillId="0" borderId="0" xfId="0" applyNumberFormat="1" applyFont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4" fontId="2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3" fontId="30" fillId="12" borderId="8" xfId="0" applyNumberFormat="1" applyFont="1" applyFill="1" applyBorder="1" applyAlignment="1">
      <alignment horizontal="center" vertical="center" wrapText="1" readingOrder="1"/>
    </xf>
    <xf numFmtId="0" fontId="4" fillId="0" borderId="8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188" fontId="28" fillId="2" borderId="8" xfId="0" applyNumberFormat="1" applyFont="1" applyFill="1" applyBorder="1" applyAlignment="1">
      <alignment horizontal="center" vertical="center" wrapText="1" readingOrder="1"/>
    </xf>
    <xf numFmtId="3" fontId="28" fillId="0" borderId="8" xfId="0" applyNumberFormat="1" applyFont="1" applyFill="1" applyBorder="1" applyAlignment="1">
      <alignment horizontal="center" vertical="center" wrapText="1" readingOrder="1"/>
    </xf>
    <xf numFmtId="4" fontId="28" fillId="0" borderId="8" xfId="0" applyNumberFormat="1" applyFont="1" applyFill="1" applyBorder="1" applyAlignment="1">
      <alignment horizontal="center" vertical="center"/>
    </xf>
    <xf numFmtId="43" fontId="16" fillId="0" borderId="1" xfId="1" applyFont="1" applyBorder="1" applyAlignment="1">
      <alignment horizontal="center" vertical="center"/>
    </xf>
    <xf numFmtId="43" fontId="16" fillId="0" borderId="4" xfId="1" applyFont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 wrapText="1" readingOrder="1"/>
    </xf>
    <xf numFmtId="0" fontId="5" fillId="4" borderId="8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 readingOrder="1"/>
    </xf>
    <xf numFmtId="3" fontId="15" fillId="9" borderId="8" xfId="0" applyNumberFormat="1" applyFont="1" applyFill="1" applyBorder="1" applyAlignment="1" applyProtection="1">
      <alignment horizontal="center" vertical="center" wrapText="1"/>
    </xf>
    <xf numFmtId="43" fontId="7" fillId="7" borderId="8" xfId="1" applyFont="1" applyFill="1" applyBorder="1" applyAlignment="1">
      <alignment horizontal="center" vertical="center" wrapText="1" readingOrder="1"/>
    </xf>
    <xf numFmtId="0" fontId="7" fillId="7" borderId="8" xfId="0" applyFont="1" applyFill="1" applyBorder="1" applyAlignment="1">
      <alignment horizontal="center" vertical="center" wrapText="1" readingOrder="1"/>
    </xf>
    <xf numFmtId="3" fontId="15" fillId="8" borderId="8" xfId="0" applyNumberFormat="1" applyFont="1" applyFill="1" applyBorder="1" applyAlignment="1" applyProtection="1">
      <alignment horizontal="center" vertical="center" wrapText="1"/>
    </xf>
    <xf numFmtId="43" fontId="9" fillId="7" borderId="8" xfId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3" fontId="13" fillId="11" borderId="8" xfId="0" applyNumberFormat="1" applyFont="1" applyFill="1" applyBorder="1" applyAlignment="1" applyProtection="1">
      <alignment horizontal="center" vertical="center" wrapText="1"/>
    </xf>
    <xf numFmtId="3" fontId="13" fillId="10" borderId="8" xfId="0" applyNumberFormat="1" applyFont="1" applyFill="1" applyBorder="1" applyAlignment="1" applyProtection="1">
      <alignment horizontal="center" vertical="center" wrapText="1"/>
    </xf>
    <xf numFmtId="3" fontId="13" fillId="6" borderId="8" xfId="0" applyNumberFormat="1" applyFont="1" applyFill="1" applyBorder="1" applyAlignment="1" applyProtection="1">
      <alignment horizontal="center" vertical="center" wrapText="1"/>
    </xf>
    <xf numFmtId="3" fontId="13" fillId="3" borderId="8" xfId="0" applyNumberFormat="1" applyFont="1" applyFill="1" applyBorder="1" applyAlignment="1" applyProtection="1">
      <alignment horizontal="center" vertical="center" wrapText="1"/>
    </xf>
    <xf numFmtId="189" fontId="15" fillId="6" borderId="8" xfId="0" applyNumberFormat="1" applyFont="1" applyFill="1" applyBorder="1" applyAlignment="1" applyProtection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 readingOrder="1"/>
    </xf>
    <xf numFmtId="0" fontId="12" fillId="4" borderId="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 readingOrder="1"/>
    </xf>
    <xf numFmtId="0" fontId="7" fillId="4" borderId="11" xfId="0" applyFont="1" applyFill="1" applyBorder="1" applyAlignment="1">
      <alignment horizontal="center" vertical="center" wrapText="1" readingOrder="1"/>
    </xf>
    <xf numFmtId="0" fontId="7" fillId="4" borderId="9" xfId="0" applyFont="1" applyFill="1" applyBorder="1" applyAlignment="1">
      <alignment horizontal="center" vertical="center" wrapText="1" readingOrder="1"/>
    </xf>
    <xf numFmtId="0" fontId="7" fillId="7" borderId="10" xfId="0" applyFont="1" applyFill="1" applyBorder="1" applyAlignment="1">
      <alignment horizontal="center" vertical="center" wrapText="1" readingOrder="1"/>
    </xf>
    <xf numFmtId="3" fontId="13" fillId="3" borderId="10" xfId="0" applyNumberFormat="1" applyFont="1" applyFill="1" applyBorder="1" applyAlignment="1" applyProtection="1">
      <alignment horizontal="center" vertical="center" wrapText="1"/>
    </xf>
    <xf numFmtId="189" fontId="15" fillId="6" borderId="10" xfId="0" applyNumberFormat="1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 readingOrder="1"/>
    </xf>
    <xf numFmtId="3" fontId="15" fillId="9" borderId="10" xfId="0" applyNumberFormat="1" applyFont="1" applyFill="1" applyBorder="1" applyAlignment="1" applyProtection="1">
      <alignment horizontal="center" vertical="center" wrapText="1"/>
    </xf>
    <xf numFmtId="43" fontId="7" fillId="7" borderId="10" xfId="1" applyFont="1" applyFill="1" applyBorder="1" applyAlignment="1">
      <alignment horizontal="center" vertical="center" wrapText="1" readingOrder="1"/>
    </xf>
    <xf numFmtId="3" fontId="15" fillId="8" borderId="10" xfId="0" applyNumberFormat="1" applyFont="1" applyFill="1" applyBorder="1" applyAlignment="1" applyProtection="1">
      <alignment horizontal="center" vertical="center" wrapText="1"/>
    </xf>
    <xf numFmtId="43" fontId="9" fillId="7" borderId="10" xfId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3" fontId="13" fillId="13" borderId="8" xfId="0" applyNumberFormat="1" applyFont="1" applyFill="1" applyBorder="1" applyAlignment="1" applyProtection="1">
      <alignment horizontal="center" vertical="center" wrapText="1"/>
    </xf>
    <xf numFmtId="3" fontId="13" fillId="6" borderId="15" xfId="0" applyNumberFormat="1" applyFont="1" applyFill="1" applyBorder="1" applyAlignment="1" applyProtection="1">
      <alignment horizontal="center" vertical="center" wrapText="1"/>
    </xf>
    <xf numFmtId="189" fontId="15" fillId="6" borderId="15" xfId="0" applyNumberFormat="1" applyFont="1" applyFill="1" applyBorder="1" applyAlignment="1" applyProtection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 wrapText="1" readingOrder="1"/>
    </xf>
    <xf numFmtId="3" fontId="9" fillId="0" borderId="16" xfId="0" applyNumberFormat="1" applyFont="1" applyFill="1" applyBorder="1" applyAlignment="1">
      <alignment horizontal="center" vertical="center" wrapText="1" readingOrder="1"/>
    </xf>
    <xf numFmtId="3" fontId="13" fillId="3" borderId="17" xfId="0" applyNumberFormat="1" applyFont="1" applyFill="1" applyBorder="1" applyAlignment="1" applyProtection="1">
      <alignment horizontal="center" vertical="center" wrapText="1"/>
    </xf>
    <xf numFmtId="3" fontId="13" fillId="3" borderId="18" xfId="0" applyNumberFormat="1" applyFont="1" applyFill="1" applyBorder="1" applyAlignment="1" applyProtection="1">
      <alignment horizontal="center" vertical="center" wrapText="1"/>
    </xf>
    <xf numFmtId="3" fontId="9" fillId="0" borderId="18" xfId="0" applyNumberFormat="1" applyFont="1" applyFill="1" applyBorder="1" applyAlignment="1">
      <alignment horizontal="center" vertical="center" wrapText="1" readingOrder="1"/>
    </xf>
    <xf numFmtId="3" fontId="9" fillId="0" borderId="19" xfId="0" applyNumberFormat="1" applyFont="1" applyFill="1" applyBorder="1" applyAlignment="1">
      <alignment horizontal="center" vertical="center" wrapText="1" readingOrder="1"/>
    </xf>
  </cellXfs>
  <cellStyles count="3">
    <cellStyle name="Normal 2" xfId="2" xr:uid="{00000000-0005-0000-0000-000002000000}"/>
    <cellStyle name="จุลภาค" xfId="1" builtinId="3"/>
    <cellStyle name="ปกติ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5273B"/>
      <color rgb="FFFCC8CC"/>
      <color rgb="FFF6ACB1"/>
      <color rgb="FFF2828A"/>
      <color rgb="FFF75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AJ44"/>
  <sheetViews>
    <sheetView zoomScale="60" zoomScaleNormal="6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B11" sqref="A11:B11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1" t="s">
        <v>57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58" t="s">
        <v>53</v>
      </c>
      <c r="P1" s="41">
        <v>44525</v>
      </c>
    </row>
    <row r="2" spans="1:25" ht="54.75" customHeight="1" thickBot="1" x14ac:dyDescent="0.3">
      <c r="C2" s="108" t="s">
        <v>41</v>
      </c>
      <c r="D2" s="112" t="s">
        <v>40</v>
      </c>
      <c r="E2" s="112"/>
      <c r="F2" s="112"/>
      <c r="G2" s="112"/>
      <c r="H2" s="113" t="s">
        <v>39</v>
      </c>
      <c r="I2" s="113"/>
      <c r="J2" s="113"/>
      <c r="K2" s="114" t="s">
        <v>38</v>
      </c>
      <c r="L2" s="114"/>
      <c r="M2" s="114"/>
      <c r="N2" s="115" t="s">
        <v>58</v>
      </c>
      <c r="O2" s="103" t="s">
        <v>59</v>
      </c>
      <c r="P2" s="103" t="s">
        <v>56</v>
      </c>
      <c r="Q2" s="104" t="s">
        <v>37</v>
      </c>
    </row>
    <row r="3" spans="1:25" ht="38.25" customHeight="1" thickBot="1" x14ac:dyDescent="0.3">
      <c r="C3" s="108"/>
      <c r="D3" s="105" t="s">
        <v>36</v>
      </c>
      <c r="E3" s="105" t="s">
        <v>35</v>
      </c>
      <c r="F3" s="105" t="s">
        <v>34</v>
      </c>
      <c r="G3" s="106" t="s">
        <v>29</v>
      </c>
      <c r="H3" s="107" t="s">
        <v>33</v>
      </c>
      <c r="I3" s="108" t="s">
        <v>32</v>
      </c>
      <c r="J3" s="109" t="s">
        <v>29</v>
      </c>
      <c r="K3" s="110" t="s">
        <v>31</v>
      </c>
      <c r="L3" s="108" t="s">
        <v>30</v>
      </c>
      <c r="M3" s="116" t="s">
        <v>29</v>
      </c>
      <c r="N3" s="115"/>
      <c r="O3" s="103"/>
      <c r="P3" s="103"/>
      <c r="Q3" s="104"/>
    </row>
    <row r="4" spans="1:25" ht="36.75" customHeight="1" thickBot="1" x14ac:dyDescent="0.3">
      <c r="C4" s="108"/>
      <c r="D4" s="105"/>
      <c r="E4" s="105"/>
      <c r="F4" s="105"/>
      <c r="G4" s="106"/>
      <c r="H4" s="107"/>
      <c r="I4" s="108"/>
      <c r="J4" s="109"/>
      <c r="K4" s="110"/>
      <c r="L4" s="108"/>
      <c r="M4" s="116"/>
      <c r="N4" s="115"/>
      <c r="O4" s="103"/>
      <c r="P4" s="103"/>
      <c r="Q4" s="104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54">
        <v>2.17</v>
      </c>
      <c r="E5" s="54">
        <v>2.02</v>
      </c>
      <c r="F5" s="67">
        <v>0.71</v>
      </c>
      <c r="G5" s="42">
        <f t="shared" ref="G5:G20" si="0">(IF(D5&lt;1.5,1,0))+(IF(E5&lt;1,1,0))+(IF(F5&lt;0.8,1,0))</f>
        <v>1</v>
      </c>
      <c r="H5" s="88">
        <v>441047792.30000001</v>
      </c>
      <c r="I5" s="51">
        <v>80972984.989999995</v>
      </c>
      <c r="J5" s="47">
        <f t="shared" ref="J5:J20" si="1">IF(I5&lt;0,1,0)+IF(H5&lt;0,1,0)</f>
        <v>0</v>
      </c>
      <c r="K5" s="49">
        <f t="shared" ref="K5:K20" si="2">SUM(I5/1)</f>
        <v>80972984.989999995</v>
      </c>
      <c r="L5" s="45">
        <f t="shared" ref="L5:L20" si="3">+H5/K5</f>
        <v>5.4468510992211607</v>
      </c>
      <c r="M5" s="47">
        <f t="shared" ref="M5:M20" si="4">IF(AND(I5&lt;0,H5&lt;0),2,IF(AND(I5&gt;0,H5&gt;0),0,IF(AND(H5&lt;0,I5&gt;0),IF(ABS((H5/(I5/1)))&lt;3,0,IF(ABS((H5/(I5/1)))&gt;6,2,1)),IF(AND(H5&gt;0,I5&lt;0),IF(ABS((H5/(I5/1)))&lt;3,2,IF(ABS((H5/(I5/1)))&gt;6,0,1))))))</f>
        <v>0</v>
      </c>
      <c r="N5" s="46">
        <f t="shared" ref="N5:N20" si="5">SUM(G5+J5+M5)</f>
        <v>1</v>
      </c>
      <c r="O5" s="46">
        <v>1</v>
      </c>
      <c r="P5" s="69">
        <v>88622918.299999997</v>
      </c>
      <c r="Q5" s="89">
        <v>-107920227.53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54">
        <v>1.56</v>
      </c>
      <c r="E6" s="54">
        <v>1.5</v>
      </c>
      <c r="F6" s="67">
        <v>0.76</v>
      </c>
      <c r="G6" s="53">
        <f t="shared" si="0"/>
        <v>1</v>
      </c>
      <c r="H6" s="52">
        <v>103086339.36</v>
      </c>
      <c r="I6" s="51">
        <v>36105787.159999996</v>
      </c>
      <c r="J6" s="61">
        <f t="shared" si="1"/>
        <v>0</v>
      </c>
      <c r="K6" s="49">
        <f>SUM(I6/1)</f>
        <v>36105787.159999996</v>
      </c>
      <c r="L6" s="45">
        <f t="shared" si="3"/>
        <v>2.8551195658241952</v>
      </c>
      <c r="M6" s="47">
        <f t="shared" si="4"/>
        <v>0</v>
      </c>
      <c r="N6" s="46">
        <f t="shared" si="5"/>
        <v>1</v>
      </c>
      <c r="O6" s="46">
        <v>2</v>
      </c>
      <c r="P6" s="69">
        <v>40160053.219999999</v>
      </c>
      <c r="Q6" s="89">
        <v>-45059691.979999997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54">
        <v>3.35</v>
      </c>
      <c r="E7" s="54">
        <v>3.2</v>
      </c>
      <c r="F7" s="54">
        <v>1.24</v>
      </c>
      <c r="G7" s="47">
        <f t="shared" si="0"/>
        <v>0</v>
      </c>
      <c r="H7" s="52">
        <v>68940936.799999997</v>
      </c>
      <c r="I7" s="51">
        <v>17012805.280000001</v>
      </c>
      <c r="J7" s="47">
        <f t="shared" si="1"/>
        <v>0</v>
      </c>
      <c r="K7" s="49">
        <f t="shared" si="2"/>
        <v>17012805.280000001</v>
      </c>
      <c r="L7" s="45">
        <f t="shared" si="3"/>
        <v>4.0522968237957748</v>
      </c>
      <c r="M7" s="47">
        <f t="shared" si="4"/>
        <v>0</v>
      </c>
      <c r="N7" s="46">
        <f t="shared" si="5"/>
        <v>0</v>
      </c>
      <c r="O7" s="46">
        <v>0</v>
      </c>
      <c r="P7" s="69">
        <v>17283259.09</v>
      </c>
      <c r="Q7" s="52">
        <v>7081992.2599999998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54">
        <v>4.6399999999999997</v>
      </c>
      <c r="E8" s="54">
        <v>4.37</v>
      </c>
      <c r="F8" s="54">
        <v>2.58</v>
      </c>
      <c r="G8" s="61">
        <f t="shared" si="0"/>
        <v>0</v>
      </c>
      <c r="H8" s="52">
        <v>57073210.920000002</v>
      </c>
      <c r="I8" s="51">
        <v>9810991.6400000006</v>
      </c>
      <c r="J8" s="61">
        <f t="shared" si="1"/>
        <v>0</v>
      </c>
      <c r="K8" s="49">
        <f t="shared" si="2"/>
        <v>9810991.6400000006</v>
      </c>
      <c r="L8" s="45">
        <f t="shared" si="3"/>
        <v>5.8172724036690751</v>
      </c>
      <c r="M8" s="47">
        <f t="shared" si="4"/>
        <v>0</v>
      </c>
      <c r="N8" s="46">
        <f t="shared" si="5"/>
        <v>0</v>
      </c>
      <c r="O8" s="46">
        <v>0</v>
      </c>
      <c r="P8" s="69">
        <v>10484906.460000001</v>
      </c>
      <c r="Q8" s="52">
        <v>24745771.129999999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54">
        <v>3.5</v>
      </c>
      <c r="E9" s="54">
        <v>3.3</v>
      </c>
      <c r="F9" s="54">
        <v>1.59</v>
      </c>
      <c r="G9" s="47">
        <f t="shared" si="0"/>
        <v>0</v>
      </c>
      <c r="H9" s="52">
        <v>55520014.710000001</v>
      </c>
      <c r="I9" s="87">
        <v>11441274.41</v>
      </c>
      <c r="J9" s="47">
        <f t="shared" si="1"/>
        <v>0</v>
      </c>
      <c r="K9" s="49">
        <f t="shared" si="2"/>
        <v>11441274.41</v>
      </c>
      <c r="L9" s="45">
        <f t="shared" si="3"/>
        <v>4.8526075610487869</v>
      </c>
      <c r="M9" s="47">
        <f t="shared" si="4"/>
        <v>0</v>
      </c>
      <c r="N9" s="46">
        <f t="shared" si="5"/>
        <v>0</v>
      </c>
      <c r="O9" s="46">
        <v>0</v>
      </c>
      <c r="P9" s="69">
        <v>11172418.720000001</v>
      </c>
      <c r="Q9" s="52">
        <v>13139886.859999999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54">
        <v>1.82</v>
      </c>
      <c r="E10" s="54">
        <v>1.72</v>
      </c>
      <c r="F10" s="54">
        <v>1.1000000000000001</v>
      </c>
      <c r="G10" s="47">
        <f t="shared" si="0"/>
        <v>0</v>
      </c>
      <c r="H10" s="52">
        <v>17352390.949999999</v>
      </c>
      <c r="I10" s="51">
        <v>8178151.6600000001</v>
      </c>
      <c r="J10" s="47">
        <f t="shared" si="1"/>
        <v>0</v>
      </c>
      <c r="K10" s="49">
        <f t="shared" si="2"/>
        <v>8178151.6600000001</v>
      </c>
      <c r="L10" s="45">
        <f t="shared" si="3"/>
        <v>2.1217986253387724</v>
      </c>
      <c r="M10" s="47">
        <f t="shared" si="4"/>
        <v>0</v>
      </c>
      <c r="N10" s="46">
        <f t="shared" si="5"/>
        <v>0</v>
      </c>
      <c r="O10" s="46">
        <v>2</v>
      </c>
      <c r="P10" s="69">
        <v>8506309.5099999998</v>
      </c>
      <c r="Q10" s="52">
        <v>1997540.54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54">
        <v>3.18</v>
      </c>
      <c r="E11" s="54">
        <v>2.97</v>
      </c>
      <c r="F11" s="54">
        <v>1.49</v>
      </c>
      <c r="G11" s="47">
        <f t="shared" si="0"/>
        <v>0</v>
      </c>
      <c r="H11" s="52">
        <v>145710320.55000001</v>
      </c>
      <c r="I11" s="51">
        <v>31493224.620000001</v>
      </c>
      <c r="J11" s="47">
        <f t="shared" si="1"/>
        <v>0</v>
      </c>
      <c r="K11" s="49">
        <f t="shared" si="2"/>
        <v>31493224.620000001</v>
      </c>
      <c r="L11" s="45">
        <f t="shared" si="3"/>
        <v>4.626719629639501</v>
      </c>
      <c r="M11" s="47">
        <f t="shared" si="4"/>
        <v>0</v>
      </c>
      <c r="N11" s="46">
        <f t="shared" si="5"/>
        <v>0</v>
      </c>
      <c r="O11" s="46">
        <v>0</v>
      </c>
      <c r="P11" s="69">
        <v>32127700.16</v>
      </c>
      <c r="Q11" s="52">
        <v>32602389.550000001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54">
        <v>2.2400000000000002</v>
      </c>
      <c r="E12" s="54">
        <v>2.09</v>
      </c>
      <c r="F12" s="54">
        <v>0.93</v>
      </c>
      <c r="G12" s="47">
        <f t="shared" si="0"/>
        <v>0</v>
      </c>
      <c r="H12" s="52">
        <v>37321093.75</v>
      </c>
      <c r="I12" s="51">
        <v>12792248</v>
      </c>
      <c r="J12" s="47">
        <f t="shared" si="1"/>
        <v>0</v>
      </c>
      <c r="K12" s="49">
        <f t="shared" si="2"/>
        <v>12792248</v>
      </c>
      <c r="L12" s="45">
        <f t="shared" si="3"/>
        <v>2.9174773464366859</v>
      </c>
      <c r="M12" s="47">
        <f t="shared" si="4"/>
        <v>0</v>
      </c>
      <c r="N12" s="46">
        <f t="shared" si="5"/>
        <v>0</v>
      </c>
      <c r="O12" s="46">
        <v>1</v>
      </c>
      <c r="P12" s="69">
        <v>13151640.51</v>
      </c>
      <c r="Q12" s="89">
        <v>-2739892.59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54">
        <v>3.9</v>
      </c>
      <c r="E13" s="54">
        <v>3.85</v>
      </c>
      <c r="F13" s="54">
        <v>1.43</v>
      </c>
      <c r="G13" s="47">
        <f t="shared" si="0"/>
        <v>0</v>
      </c>
      <c r="H13" s="52">
        <v>81223170.090000004</v>
      </c>
      <c r="I13" s="51">
        <v>19009933.219999999</v>
      </c>
      <c r="J13" s="47">
        <f t="shared" si="1"/>
        <v>0</v>
      </c>
      <c r="K13" s="49">
        <f t="shared" si="2"/>
        <v>19009933.219999999</v>
      </c>
      <c r="L13" s="45">
        <f t="shared" si="3"/>
        <v>4.2726699326090536</v>
      </c>
      <c r="M13" s="47">
        <f t="shared" si="4"/>
        <v>0</v>
      </c>
      <c r="N13" s="46">
        <f t="shared" si="5"/>
        <v>0</v>
      </c>
      <c r="O13" s="46">
        <v>0</v>
      </c>
      <c r="P13" s="69">
        <v>19501743.530000001</v>
      </c>
      <c r="Q13" s="52">
        <v>11908208.02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54">
        <v>2.84</v>
      </c>
      <c r="E14" s="54">
        <v>2.71</v>
      </c>
      <c r="F14" s="54">
        <v>1.51</v>
      </c>
      <c r="G14" s="47">
        <f t="shared" si="0"/>
        <v>0</v>
      </c>
      <c r="H14" s="52">
        <v>38060483.409999996</v>
      </c>
      <c r="I14" s="51">
        <v>15941175.02</v>
      </c>
      <c r="J14" s="47">
        <f t="shared" si="1"/>
        <v>0</v>
      </c>
      <c r="K14" s="49">
        <f t="shared" si="2"/>
        <v>15941175.02</v>
      </c>
      <c r="L14" s="45">
        <f t="shared" si="3"/>
        <v>2.3875582171482863</v>
      </c>
      <c r="M14" s="47">
        <f t="shared" si="4"/>
        <v>0</v>
      </c>
      <c r="N14" s="46">
        <f t="shared" si="5"/>
        <v>0</v>
      </c>
      <c r="O14" s="46">
        <v>0</v>
      </c>
      <c r="P14" s="69">
        <v>16603447.33</v>
      </c>
      <c r="Q14" s="52">
        <v>10470377.49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54">
        <v>4.7699999999999996</v>
      </c>
      <c r="E15" s="54">
        <v>4.54</v>
      </c>
      <c r="F15" s="54">
        <v>2.3199999999999998</v>
      </c>
      <c r="G15" s="47">
        <f t="shared" si="0"/>
        <v>0</v>
      </c>
      <c r="H15" s="52">
        <v>65051352.369999997</v>
      </c>
      <c r="I15" s="51">
        <v>17735776.640000001</v>
      </c>
      <c r="J15" s="47">
        <f t="shared" si="1"/>
        <v>0</v>
      </c>
      <c r="K15" s="49">
        <f t="shared" si="2"/>
        <v>17735776.640000001</v>
      </c>
      <c r="L15" s="45">
        <f t="shared" si="3"/>
        <v>3.667803992484199</v>
      </c>
      <c r="M15" s="47">
        <f t="shared" si="4"/>
        <v>0</v>
      </c>
      <c r="N15" s="46">
        <f t="shared" si="5"/>
        <v>0</v>
      </c>
      <c r="O15" s="46">
        <v>0</v>
      </c>
      <c r="P15" s="69">
        <v>18278469.969999999</v>
      </c>
      <c r="Q15" s="52">
        <v>22803791.77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54">
        <v>9.1300000000000008</v>
      </c>
      <c r="E16" s="54">
        <v>8.76</v>
      </c>
      <c r="F16" s="54">
        <v>3.48</v>
      </c>
      <c r="G16" s="47">
        <f t="shared" si="0"/>
        <v>0</v>
      </c>
      <c r="H16" s="52">
        <v>197269270.66999999</v>
      </c>
      <c r="I16" s="87">
        <v>40162668.159999996</v>
      </c>
      <c r="J16" s="47">
        <f t="shared" si="1"/>
        <v>0</v>
      </c>
      <c r="K16" s="49">
        <f t="shared" si="2"/>
        <v>40162668.159999996</v>
      </c>
      <c r="L16" s="45">
        <f t="shared" si="3"/>
        <v>4.9117571044861581</v>
      </c>
      <c r="M16" s="47">
        <f t="shared" si="4"/>
        <v>0</v>
      </c>
      <c r="N16" s="46">
        <f t="shared" si="5"/>
        <v>0</v>
      </c>
      <c r="O16" s="46">
        <v>0</v>
      </c>
      <c r="P16" s="69">
        <v>29297121.640000001</v>
      </c>
      <c r="Q16" s="52">
        <v>60105466.039999999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54">
        <v>2.44</v>
      </c>
      <c r="E17" s="54">
        <v>2.2799999999999998</v>
      </c>
      <c r="F17" s="54">
        <v>1.46</v>
      </c>
      <c r="G17" s="47">
        <f t="shared" si="0"/>
        <v>0</v>
      </c>
      <c r="H17" s="52">
        <v>12897823.619999999</v>
      </c>
      <c r="I17" s="51">
        <v>6283665.54</v>
      </c>
      <c r="J17" s="47">
        <f t="shared" si="1"/>
        <v>0</v>
      </c>
      <c r="K17" s="49">
        <f t="shared" si="2"/>
        <v>6283665.54</v>
      </c>
      <c r="L17" s="45">
        <f t="shared" si="3"/>
        <v>2.0525955014467558</v>
      </c>
      <c r="M17" s="47">
        <f t="shared" si="4"/>
        <v>0</v>
      </c>
      <c r="N17" s="46">
        <f t="shared" si="5"/>
        <v>0</v>
      </c>
      <c r="O17" s="46">
        <v>0</v>
      </c>
      <c r="P17" s="69">
        <v>6535597.0599999996</v>
      </c>
      <c r="Q17" s="52">
        <v>4136687.19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54">
        <v>9.25</v>
      </c>
      <c r="E18" s="54">
        <v>9.08</v>
      </c>
      <c r="F18" s="54">
        <v>3.18</v>
      </c>
      <c r="G18" s="47">
        <f t="shared" si="0"/>
        <v>0</v>
      </c>
      <c r="H18" s="88">
        <v>183226368.94</v>
      </c>
      <c r="I18" s="62">
        <v>-1932068.42</v>
      </c>
      <c r="J18" s="42">
        <f t="shared" si="1"/>
        <v>1</v>
      </c>
      <c r="K18" s="55">
        <f t="shared" si="2"/>
        <v>-1932068.42</v>
      </c>
      <c r="L18" s="45">
        <f t="shared" si="3"/>
        <v>-94.834306613220249</v>
      </c>
      <c r="M18" s="47">
        <f t="shared" si="4"/>
        <v>0</v>
      </c>
      <c r="N18" s="46">
        <f t="shared" si="5"/>
        <v>1</v>
      </c>
      <c r="O18" s="46">
        <v>0</v>
      </c>
      <c r="P18" s="62">
        <v>-1734751.54</v>
      </c>
      <c r="Q18" s="52">
        <v>47194251.609999999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54">
        <v>3.85</v>
      </c>
      <c r="E19" s="54">
        <v>3.62</v>
      </c>
      <c r="F19" s="67">
        <v>0.72</v>
      </c>
      <c r="G19" s="42">
        <f t="shared" si="0"/>
        <v>1</v>
      </c>
      <c r="H19" s="51">
        <v>40688205.75</v>
      </c>
      <c r="I19" s="51">
        <v>11249763.949999999</v>
      </c>
      <c r="J19" s="47">
        <f t="shared" si="1"/>
        <v>0</v>
      </c>
      <c r="K19" s="49">
        <f t="shared" si="2"/>
        <v>11249763.949999999</v>
      </c>
      <c r="L19" s="45">
        <f t="shared" si="3"/>
        <v>3.6168052886123006</v>
      </c>
      <c r="M19" s="47">
        <f t="shared" si="4"/>
        <v>0</v>
      </c>
      <c r="N19" s="46">
        <f t="shared" si="5"/>
        <v>1</v>
      </c>
      <c r="O19" s="46">
        <v>1</v>
      </c>
      <c r="P19" s="69">
        <v>11629364.369999999</v>
      </c>
      <c r="Q19" s="89">
        <v>-4132930.07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54">
        <v>2.4</v>
      </c>
      <c r="E20" s="54">
        <v>2.1800000000000002</v>
      </c>
      <c r="F20" s="54">
        <v>1.22</v>
      </c>
      <c r="G20" s="47">
        <f t="shared" si="0"/>
        <v>0</v>
      </c>
      <c r="H20" s="51">
        <v>13035767.58</v>
      </c>
      <c r="I20" s="51">
        <v>3844525.27</v>
      </c>
      <c r="J20" s="47">
        <f t="shared" si="1"/>
        <v>0</v>
      </c>
      <c r="K20" s="49">
        <f t="shared" si="2"/>
        <v>3844525.27</v>
      </c>
      <c r="L20" s="45">
        <f t="shared" si="3"/>
        <v>3.3907353091738166</v>
      </c>
      <c r="M20" s="47">
        <f t="shared" si="4"/>
        <v>0</v>
      </c>
      <c r="N20" s="46">
        <f t="shared" si="5"/>
        <v>0</v>
      </c>
      <c r="O20" s="46">
        <v>2</v>
      </c>
      <c r="P20" s="69">
        <v>4222575.2699999996</v>
      </c>
      <c r="Q20" s="51">
        <v>1963760.62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38"/>
      <c r="N27" s="38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14">
      <colorScale>
        <cfvo type="min"/>
        <cfvo type="max"/>
        <color rgb="FFFCFCFF"/>
        <color rgb="FFF8696B"/>
      </colorScale>
    </cfRule>
    <cfRule type="colorScale" priority="16">
      <colorScale>
        <cfvo type="min"/>
        <cfvo type="max"/>
        <color rgb="FFFFFF00"/>
        <color rgb="FFFF0000"/>
      </colorScale>
    </cfRule>
    <cfRule type="colorScale" priority="18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7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5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1" sqref="P1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2" t="s">
        <v>83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58" t="s">
        <v>53</v>
      </c>
      <c r="P1" s="65">
        <v>243118</v>
      </c>
      <c r="Q1" s="41"/>
    </row>
    <row r="2" spans="1:25" ht="54.75" customHeight="1" thickBot="1" x14ac:dyDescent="0.3">
      <c r="C2" s="108" t="s">
        <v>41</v>
      </c>
      <c r="D2" s="112" t="s">
        <v>40</v>
      </c>
      <c r="E2" s="112"/>
      <c r="F2" s="112"/>
      <c r="G2" s="112"/>
      <c r="H2" s="113" t="s">
        <v>39</v>
      </c>
      <c r="I2" s="113"/>
      <c r="J2" s="113"/>
      <c r="K2" s="114" t="s">
        <v>38</v>
      </c>
      <c r="L2" s="114"/>
      <c r="M2" s="114"/>
      <c r="N2" s="115" t="s">
        <v>84</v>
      </c>
      <c r="O2" s="117" t="s">
        <v>85</v>
      </c>
      <c r="P2" s="117" t="s">
        <v>56</v>
      </c>
      <c r="Q2" s="118" t="s">
        <v>37</v>
      </c>
    </row>
    <row r="3" spans="1:25" ht="38.25" customHeight="1" thickBot="1" x14ac:dyDescent="0.3">
      <c r="C3" s="108"/>
      <c r="D3" s="105" t="s">
        <v>36</v>
      </c>
      <c r="E3" s="105" t="s">
        <v>35</v>
      </c>
      <c r="F3" s="105" t="s">
        <v>34</v>
      </c>
      <c r="G3" s="106" t="s">
        <v>29</v>
      </c>
      <c r="H3" s="107" t="s">
        <v>33</v>
      </c>
      <c r="I3" s="108" t="s">
        <v>32</v>
      </c>
      <c r="J3" s="109" t="s">
        <v>29</v>
      </c>
      <c r="K3" s="110" t="s">
        <v>31</v>
      </c>
      <c r="L3" s="108" t="s">
        <v>30</v>
      </c>
      <c r="M3" s="116" t="s">
        <v>29</v>
      </c>
      <c r="N3" s="115"/>
      <c r="O3" s="117"/>
      <c r="P3" s="117"/>
      <c r="Q3" s="118"/>
    </row>
    <row r="4" spans="1:25" ht="36.75" customHeight="1" thickBot="1" x14ac:dyDescent="0.3">
      <c r="C4" s="108"/>
      <c r="D4" s="105"/>
      <c r="E4" s="105"/>
      <c r="F4" s="105"/>
      <c r="G4" s="106"/>
      <c r="H4" s="107"/>
      <c r="I4" s="108"/>
      <c r="J4" s="109"/>
      <c r="K4" s="110"/>
      <c r="L4" s="108"/>
      <c r="M4" s="116"/>
      <c r="N4" s="115"/>
      <c r="O4" s="117"/>
      <c r="P4" s="117"/>
      <c r="Q4" s="11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73" t="s">
        <v>28</v>
      </c>
      <c r="D5" s="74">
        <v>3.48</v>
      </c>
      <c r="E5" s="74">
        <v>3.17</v>
      </c>
      <c r="F5" s="74">
        <v>0.98</v>
      </c>
      <c r="G5" s="74">
        <f t="shared" ref="G5:G20" si="0">(IF(D5&lt;1.5,1,0))+(IF(E5&lt;1,1,0))+(IF(F5&lt;0.8,1,0))</f>
        <v>0</v>
      </c>
      <c r="H5" s="81">
        <v>528161440.86000001</v>
      </c>
      <c r="I5" s="81">
        <v>288686153.88999999</v>
      </c>
      <c r="J5" s="74">
        <f t="shared" ref="J5:J20" si="1">IF(I5&lt;0,1,0)+IF(H5&lt;0,1,0)</f>
        <v>0</v>
      </c>
      <c r="K5" s="75">
        <f>SUM(I5/10)</f>
        <v>28868615.388999999</v>
      </c>
      <c r="L5" s="98">
        <f>+H5/K5</f>
        <v>18.29535063400543</v>
      </c>
      <c r="M5" s="74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99">
        <f t="shared" ref="N5:N20" si="2">SUM(G5+J5+M5)</f>
        <v>0</v>
      </c>
      <c r="O5" s="99">
        <f>'มิ.ย.65'!N5</f>
        <v>0</v>
      </c>
      <c r="P5" s="81">
        <v>338526846.83999997</v>
      </c>
      <c r="Q5" s="80">
        <v>-5029266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73" t="s">
        <v>27</v>
      </c>
      <c r="D6" s="74">
        <v>2.16</v>
      </c>
      <c r="E6" s="74">
        <v>2.06</v>
      </c>
      <c r="F6" s="74">
        <v>1.03</v>
      </c>
      <c r="G6" s="78">
        <f t="shared" si="0"/>
        <v>0</v>
      </c>
      <c r="H6" s="81">
        <v>150585867.50999999</v>
      </c>
      <c r="I6" s="81">
        <v>99058195.980000004</v>
      </c>
      <c r="J6" s="78">
        <f>IF(I6&lt;0,1,0)+IF(H6&lt;0,1,0)</f>
        <v>0</v>
      </c>
      <c r="K6" s="75">
        <f t="shared" ref="K6:K20" si="3">SUM(I6/10)</f>
        <v>9905819.5980000012</v>
      </c>
      <c r="L6" s="98">
        <f>+H6/K6</f>
        <v>15.201757514381091</v>
      </c>
      <c r="M6" s="74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0</v>
      </c>
      <c r="N6" s="99">
        <f>SUM(G6+J6+M6)</f>
        <v>0</v>
      </c>
      <c r="O6" s="99">
        <f>'มิ.ย.65'!N6</f>
        <v>0</v>
      </c>
      <c r="P6" s="81">
        <v>132711381.68000001</v>
      </c>
      <c r="Q6" s="81">
        <v>3754583.46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73" t="s">
        <v>26</v>
      </c>
      <c r="D7" s="74">
        <v>3.67</v>
      </c>
      <c r="E7" s="74">
        <v>3.38</v>
      </c>
      <c r="F7" s="74">
        <v>2.2200000000000002</v>
      </c>
      <c r="G7" s="74">
        <f t="shared" si="0"/>
        <v>0</v>
      </c>
      <c r="H7" s="81">
        <v>80587923.280000001</v>
      </c>
      <c r="I7" s="81">
        <v>43541734.390000001</v>
      </c>
      <c r="J7" s="74">
        <f t="shared" si="1"/>
        <v>0</v>
      </c>
      <c r="K7" s="75">
        <f t="shared" si="3"/>
        <v>4354173.4390000002</v>
      </c>
      <c r="L7" s="98">
        <f t="shared" ref="L7:L20" si="5">+H7/K7</f>
        <v>18.508202396849907</v>
      </c>
      <c r="M7" s="74">
        <f t="shared" si="4"/>
        <v>0</v>
      </c>
      <c r="N7" s="99">
        <f t="shared" si="2"/>
        <v>0</v>
      </c>
      <c r="O7" s="99">
        <f>'มิ.ย.65'!N7</f>
        <v>0</v>
      </c>
      <c r="P7" s="81">
        <v>42844157.920000002</v>
      </c>
      <c r="Q7" s="81">
        <v>36866834.109999999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73" t="s">
        <v>25</v>
      </c>
      <c r="D8" s="74">
        <v>13.95</v>
      </c>
      <c r="E8" s="74">
        <v>13.71</v>
      </c>
      <c r="F8" s="74">
        <v>8.9700000000000006</v>
      </c>
      <c r="G8" s="78">
        <f t="shared" si="0"/>
        <v>0</v>
      </c>
      <c r="H8" s="81">
        <v>164159526.63</v>
      </c>
      <c r="I8" s="100">
        <v>104792547.84</v>
      </c>
      <c r="J8" s="78">
        <f t="shared" si="1"/>
        <v>0</v>
      </c>
      <c r="K8" s="75">
        <f t="shared" si="3"/>
        <v>10479254.784</v>
      </c>
      <c r="L8" s="98">
        <f t="shared" si="5"/>
        <v>15.665190895123864</v>
      </c>
      <c r="M8" s="74">
        <f t="shared" si="4"/>
        <v>0</v>
      </c>
      <c r="N8" s="99">
        <f t="shared" si="2"/>
        <v>0</v>
      </c>
      <c r="O8" s="99">
        <f>'มิ.ย.65'!N8</f>
        <v>0</v>
      </c>
      <c r="P8" s="81">
        <v>110378001.83</v>
      </c>
      <c r="Q8" s="81">
        <v>100998053.73999999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73" t="s">
        <v>24</v>
      </c>
      <c r="D9" s="74">
        <v>5.75</v>
      </c>
      <c r="E9" s="82">
        <v>5.4</v>
      </c>
      <c r="F9" s="74">
        <v>3.46</v>
      </c>
      <c r="G9" s="74">
        <f t="shared" si="0"/>
        <v>0</v>
      </c>
      <c r="H9" s="81">
        <v>68663755.989999995</v>
      </c>
      <c r="I9" s="81">
        <v>23631177.460000001</v>
      </c>
      <c r="J9" s="74">
        <f t="shared" si="1"/>
        <v>0</v>
      </c>
      <c r="K9" s="75">
        <f t="shared" si="3"/>
        <v>2363117.7460000003</v>
      </c>
      <c r="L9" s="98">
        <f t="shared" si="5"/>
        <v>29.056426031341726</v>
      </c>
      <c r="M9" s="74">
        <f t="shared" si="4"/>
        <v>0</v>
      </c>
      <c r="N9" s="99">
        <f t="shared" si="2"/>
        <v>0</v>
      </c>
      <c r="O9" s="99">
        <f>'มิ.ย.65'!N9</f>
        <v>0</v>
      </c>
      <c r="P9" s="81">
        <v>26081737.140000001</v>
      </c>
      <c r="Q9" s="81">
        <v>35615688.310000002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79" t="s">
        <v>23</v>
      </c>
      <c r="D10" s="74">
        <v>2.16</v>
      </c>
      <c r="E10" s="74">
        <v>2.0299999999999998</v>
      </c>
      <c r="F10" s="74">
        <v>1.24</v>
      </c>
      <c r="G10" s="74">
        <f t="shared" si="0"/>
        <v>0</v>
      </c>
      <c r="H10" s="81">
        <v>22219059.629999999</v>
      </c>
      <c r="I10" s="81">
        <v>8519315.5199999996</v>
      </c>
      <c r="J10" s="74">
        <f t="shared" si="1"/>
        <v>0</v>
      </c>
      <c r="K10" s="75">
        <f t="shared" si="3"/>
        <v>851931.55199999991</v>
      </c>
      <c r="L10" s="98">
        <f t="shared" si="5"/>
        <v>26.080803766263138</v>
      </c>
      <c r="M10" s="74">
        <f t="shared" si="4"/>
        <v>0</v>
      </c>
      <c r="N10" s="99">
        <f t="shared" si="2"/>
        <v>0</v>
      </c>
      <c r="O10" s="99">
        <f>'มิ.ย.65'!N10</f>
        <v>0</v>
      </c>
      <c r="P10" s="81">
        <v>10963740.029999999</v>
      </c>
      <c r="Q10" s="81">
        <v>4519068.66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79" t="s">
        <v>22</v>
      </c>
      <c r="D11" s="82">
        <v>8.1999999999999993</v>
      </c>
      <c r="E11" s="74">
        <v>7.89</v>
      </c>
      <c r="F11" s="74">
        <v>6.92</v>
      </c>
      <c r="G11" s="74">
        <f t="shared" si="0"/>
        <v>0</v>
      </c>
      <c r="H11" s="81">
        <v>237511196.13</v>
      </c>
      <c r="I11" s="81">
        <v>58566941.380000003</v>
      </c>
      <c r="J11" s="74">
        <f t="shared" si="1"/>
        <v>0</v>
      </c>
      <c r="K11" s="75">
        <f t="shared" si="3"/>
        <v>5856694.1380000003</v>
      </c>
      <c r="L11" s="98">
        <f t="shared" si="5"/>
        <v>40.553798872465549</v>
      </c>
      <c r="M11" s="74">
        <f t="shared" si="4"/>
        <v>0</v>
      </c>
      <c r="N11" s="99">
        <f t="shared" si="2"/>
        <v>0</v>
      </c>
      <c r="O11" s="99">
        <f>'มิ.ย.65'!N11</f>
        <v>0</v>
      </c>
      <c r="P11" s="81">
        <v>134692666.88</v>
      </c>
      <c r="Q11" s="81">
        <v>194884152.09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79" t="s">
        <v>21</v>
      </c>
      <c r="D12" s="74">
        <v>2.25</v>
      </c>
      <c r="E12" s="74">
        <v>2.0699999999999998</v>
      </c>
      <c r="F12" s="74">
        <v>1.38</v>
      </c>
      <c r="G12" s="74">
        <f t="shared" si="0"/>
        <v>0</v>
      </c>
      <c r="H12" s="81">
        <v>30766053.809999999</v>
      </c>
      <c r="I12" s="81">
        <v>11942114.01</v>
      </c>
      <c r="J12" s="74">
        <f t="shared" si="1"/>
        <v>0</v>
      </c>
      <c r="K12" s="75">
        <f t="shared" si="3"/>
        <v>1194211.4010000001</v>
      </c>
      <c r="L12" s="98">
        <f t="shared" si="5"/>
        <v>25.762652897332369</v>
      </c>
      <c r="M12" s="74">
        <f t="shared" si="4"/>
        <v>0</v>
      </c>
      <c r="N12" s="99">
        <f t="shared" si="2"/>
        <v>0</v>
      </c>
      <c r="O12" s="99">
        <f>'มิ.ย.65'!N12</f>
        <v>0</v>
      </c>
      <c r="P12" s="81">
        <v>14246657.48</v>
      </c>
      <c r="Q12" s="81">
        <v>9001985.6099999994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79" t="s">
        <v>20</v>
      </c>
      <c r="D13" s="82">
        <v>6.86</v>
      </c>
      <c r="E13" s="82">
        <v>6.7</v>
      </c>
      <c r="F13" s="74">
        <v>4.38</v>
      </c>
      <c r="G13" s="74">
        <f t="shared" si="0"/>
        <v>0</v>
      </c>
      <c r="H13" s="81">
        <v>90082794.939999998</v>
      </c>
      <c r="I13" s="81">
        <v>35065943.82</v>
      </c>
      <c r="J13" s="74">
        <f t="shared" si="1"/>
        <v>0</v>
      </c>
      <c r="K13" s="75">
        <f t="shared" si="3"/>
        <v>3506594.3820000002</v>
      </c>
      <c r="L13" s="98">
        <f t="shared" si="5"/>
        <v>25.68953951515228</v>
      </c>
      <c r="M13" s="74">
        <f t="shared" si="4"/>
        <v>0</v>
      </c>
      <c r="N13" s="99">
        <f t="shared" si="2"/>
        <v>0</v>
      </c>
      <c r="O13" s="99">
        <f>'มิ.ย.65'!N13</f>
        <v>0</v>
      </c>
      <c r="P13" s="81">
        <v>38701627.490000002</v>
      </c>
      <c r="Q13" s="81">
        <v>51997546.270000003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79" t="s">
        <v>19</v>
      </c>
      <c r="D14" s="82">
        <v>4.8</v>
      </c>
      <c r="E14" s="82">
        <v>4.5999999999999996</v>
      </c>
      <c r="F14" s="74">
        <v>2.97</v>
      </c>
      <c r="G14" s="74">
        <f t="shared" si="0"/>
        <v>0</v>
      </c>
      <c r="H14" s="81">
        <v>76660048.329999998</v>
      </c>
      <c r="I14" s="81">
        <v>43234508.460000001</v>
      </c>
      <c r="J14" s="74">
        <f t="shared" si="1"/>
        <v>0</v>
      </c>
      <c r="K14" s="75">
        <f t="shared" si="3"/>
        <v>4323450.8459999999</v>
      </c>
      <c r="L14" s="98">
        <f t="shared" si="5"/>
        <v>17.731217738007793</v>
      </c>
      <c r="M14" s="74">
        <f t="shared" si="4"/>
        <v>0</v>
      </c>
      <c r="N14" s="99">
        <f t="shared" si="2"/>
        <v>0</v>
      </c>
      <c r="O14" s="99">
        <f>'มิ.ย.65'!N14</f>
        <v>0</v>
      </c>
      <c r="P14" s="81">
        <v>48877283.149999999</v>
      </c>
      <c r="Q14" s="81">
        <v>39623873.789999999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79" t="s">
        <v>18</v>
      </c>
      <c r="D15" s="74">
        <v>5.57</v>
      </c>
      <c r="E15" s="74">
        <v>5.27</v>
      </c>
      <c r="F15" s="82">
        <v>4</v>
      </c>
      <c r="G15" s="74">
        <f t="shared" si="0"/>
        <v>0</v>
      </c>
      <c r="H15" s="81">
        <v>70365740</v>
      </c>
      <c r="I15" s="81">
        <v>29588317.02</v>
      </c>
      <c r="J15" s="74">
        <f t="shared" si="1"/>
        <v>0</v>
      </c>
      <c r="K15" s="75">
        <f t="shared" si="3"/>
        <v>2958831.702</v>
      </c>
      <c r="L15" s="98">
        <f t="shared" si="5"/>
        <v>23.781595942897599</v>
      </c>
      <c r="M15" s="74">
        <f t="shared" si="4"/>
        <v>0</v>
      </c>
      <c r="N15" s="99">
        <f t="shared" si="2"/>
        <v>0</v>
      </c>
      <c r="O15" s="99">
        <f>'มิ.ย.65'!N15</f>
        <v>0</v>
      </c>
      <c r="P15" s="81">
        <v>35251359.829999998</v>
      </c>
      <c r="Q15" s="81">
        <v>46163344.850000001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79" t="s">
        <v>17</v>
      </c>
      <c r="D16" s="74">
        <v>8.49</v>
      </c>
      <c r="E16" s="74">
        <v>8.18</v>
      </c>
      <c r="F16" s="74">
        <v>6.64</v>
      </c>
      <c r="G16" s="74">
        <f t="shared" si="0"/>
        <v>0</v>
      </c>
      <c r="H16" s="81">
        <v>182141870.88</v>
      </c>
      <c r="I16" s="81">
        <v>52458974.640000001</v>
      </c>
      <c r="J16" s="74">
        <f t="shared" si="1"/>
        <v>0</v>
      </c>
      <c r="K16" s="75">
        <f t="shared" si="3"/>
        <v>5245897.4639999997</v>
      </c>
      <c r="L16" s="98">
        <f t="shared" si="5"/>
        <v>34.720821771670067</v>
      </c>
      <c r="M16" s="74">
        <f t="shared" si="4"/>
        <v>0</v>
      </c>
      <c r="N16" s="99">
        <f t="shared" si="2"/>
        <v>0</v>
      </c>
      <c r="O16" s="99">
        <f>'มิ.ย.65'!N16</f>
        <v>0</v>
      </c>
      <c r="P16" s="81">
        <v>38112174</v>
      </c>
      <c r="Q16" s="81">
        <v>137332839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79" t="s">
        <v>16</v>
      </c>
      <c r="D17" s="74">
        <v>3.19</v>
      </c>
      <c r="E17" s="74">
        <v>3.08</v>
      </c>
      <c r="F17" s="74">
        <v>2.34</v>
      </c>
      <c r="G17" s="74">
        <f t="shared" si="0"/>
        <v>0</v>
      </c>
      <c r="H17" s="81">
        <v>24789878.079999998</v>
      </c>
      <c r="I17" s="81">
        <v>10559950.060000001</v>
      </c>
      <c r="J17" s="74">
        <f t="shared" si="1"/>
        <v>0</v>
      </c>
      <c r="K17" s="75">
        <f t="shared" si="3"/>
        <v>1055995.0060000001</v>
      </c>
      <c r="L17" s="98">
        <f t="shared" si="5"/>
        <v>23.475374352291205</v>
      </c>
      <c r="M17" s="74">
        <f t="shared" si="4"/>
        <v>0</v>
      </c>
      <c r="N17" s="99">
        <f t="shared" si="2"/>
        <v>0</v>
      </c>
      <c r="O17" s="99">
        <f>'มิ.ย.65'!N17</f>
        <v>0</v>
      </c>
      <c r="P17" s="81">
        <v>11626316.960000001</v>
      </c>
      <c r="Q17" s="81">
        <v>15119805.060000001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79" t="s">
        <v>15</v>
      </c>
      <c r="D18" s="82">
        <v>11.1</v>
      </c>
      <c r="E18" s="74">
        <v>10.94</v>
      </c>
      <c r="F18" s="74">
        <v>9.2799999999999994</v>
      </c>
      <c r="G18" s="74">
        <f t="shared" si="0"/>
        <v>0</v>
      </c>
      <c r="H18" s="81">
        <v>186611237.91999999</v>
      </c>
      <c r="I18" s="81">
        <v>23386165.829999998</v>
      </c>
      <c r="J18" s="74">
        <f t="shared" si="1"/>
        <v>0</v>
      </c>
      <c r="K18" s="75">
        <f t="shared" si="3"/>
        <v>2338616.5829999996</v>
      </c>
      <c r="L18" s="98">
        <f t="shared" si="5"/>
        <v>79.795567720046407</v>
      </c>
      <c r="M18" s="74">
        <f t="shared" si="4"/>
        <v>0</v>
      </c>
      <c r="N18" s="99">
        <f t="shared" si="2"/>
        <v>0</v>
      </c>
      <c r="O18" s="99">
        <f>'มิ.ย.65'!N18</f>
        <v>0</v>
      </c>
      <c r="P18" s="81">
        <v>29008944.91</v>
      </c>
      <c r="Q18" s="81">
        <v>152947358.66999999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79" t="s">
        <v>14</v>
      </c>
      <c r="D19" s="74">
        <v>6.33</v>
      </c>
      <c r="E19" s="74">
        <v>5.81</v>
      </c>
      <c r="F19" s="74">
        <v>1.87</v>
      </c>
      <c r="G19" s="74">
        <f t="shared" si="0"/>
        <v>0</v>
      </c>
      <c r="H19" s="81">
        <v>38705990.609999999</v>
      </c>
      <c r="I19" s="81">
        <v>22072533.539999999</v>
      </c>
      <c r="J19" s="74">
        <f t="shared" si="1"/>
        <v>0</v>
      </c>
      <c r="K19" s="75">
        <f t="shared" si="3"/>
        <v>2207253.3539999998</v>
      </c>
      <c r="L19" s="98">
        <f t="shared" si="5"/>
        <v>17.535816873879355</v>
      </c>
      <c r="M19" s="74">
        <f t="shared" si="4"/>
        <v>0</v>
      </c>
      <c r="N19" s="99">
        <f t="shared" si="2"/>
        <v>0</v>
      </c>
      <c r="O19" s="99">
        <f>'มิ.ย.65'!N19</f>
        <v>0</v>
      </c>
      <c r="P19" s="81">
        <v>25139643.359999999</v>
      </c>
      <c r="Q19" s="81">
        <v>6338627.7400000002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73" t="s">
        <v>13</v>
      </c>
      <c r="D20" s="74">
        <v>3.18</v>
      </c>
      <c r="E20" s="74">
        <v>2.86</v>
      </c>
      <c r="F20" s="74">
        <v>1.61</v>
      </c>
      <c r="G20" s="74">
        <f t="shared" si="0"/>
        <v>0</v>
      </c>
      <c r="H20" s="81">
        <v>15428493.26</v>
      </c>
      <c r="I20" s="81">
        <v>1325817.45</v>
      </c>
      <c r="J20" s="74">
        <f t="shared" si="1"/>
        <v>0</v>
      </c>
      <c r="K20" s="75">
        <f t="shared" si="3"/>
        <v>132581.745</v>
      </c>
      <c r="L20" s="98">
        <f t="shared" si="5"/>
        <v>116.36966506965193</v>
      </c>
      <c r="M20" s="74">
        <f t="shared" si="4"/>
        <v>0</v>
      </c>
      <c r="N20" s="99">
        <f t="shared" si="2"/>
        <v>0</v>
      </c>
      <c r="O20" s="99">
        <f>'มิ.ย.65'!N20</f>
        <v>0</v>
      </c>
      <c r="P20" s="81">
        <v>4447122.3899999997</v>
      </c>
      <c r="Q20" s="81">
        <v>4331039.93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0B98D-3419-4431-BF85-EB01A4957919}">
  <sheetPr codeName="Sheet11"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6" sqref="K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6.125" style="1" customWidth="1"/>
    <col min="15" max="15" width="13.375" style="1" customWidth="1"/>
    <col min="16" max="16" width="20.8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2" t="s">
        <v>86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58" t="s">
        <v>53</v>
      </c>
      <c r="P1" s="65">
        <v>243148</v>
      </c>
      <c r="Q1" s="41"/>
    </row>
    <row r="2" spans="1:25" ht="54.75" customHeight="1" thickBot="1" x14ac:dyDescent="0.3">
      <c r="C2" s="108" t="s">
        <v>41</v>
      </c>
      <c r="D2" s="112" t="s">
        <v>40</v>
      </c>
      <c r="E2" s="112"/>
      <c r="F2" s="112"/>
      <c r="G2" s="112"/>
      <c r="H2" s="113" t="s">
        <v>39</v>
      </c>
      <c r="I2" s="113"/>
      <c r="J2" s="113"/>
      <c r="K2" s="114" t="s">
        <v>38</v>
      </c>
      <c r="L2" s="114"/>
      <c r="M2" s="114"/>
      <c r="N2" s="133" t="s">
        <v>87</v>
      </c>
      <c r="O2" s="117" t="s">
        <v>88</v>
      </c>
      <c r="P2" s="117" t="s">
        <v>56</v>
      </c>
      <c r="Q2" s="118" t="s">
        <v>37</v>
      </c>
    </row>
    <row r="3" spans="1:25" ht="38.25" customHeight="1" thickBot="1" x14ac:dyDescent="0.3">
      <c r="C3" s="108"/>
      <c r="D3" s="105" t="s">
        <v>36</v>
      </c>
      <c r="E3" s="105" t="s">
        <v>35</v>
      </c>
      <c r="F3" s="105" t="s">
        <v>34</v>
      </c>
      <c r="G3" s="106" t="s">
        <v>29</v>
      </c>
      <c r="H3" s="107" t="s">
        <v>33</v>
      </c>
      <c r="I3" s="108" t="s">
        <v>32</v>
      </c>
      <c r="J3" s="109" t="s">
        <v>29</v>
      </c>
      <c r="K3" s="110" t="s">
        <v>31</v>
      </c>
      <c r="L3" s="108" t="s">
        <v>30</v>
      </c>
      <c r="M3" s="116" t="s">
        <v>29</v>
      </c>
      <c r="N3" s="133"/>
      <c r="O3" s="117"/>
      <c r="P3" s="117"/>
      <c r="Q3" s="118"/>
    </row>
    <row r="4" spans="1:25" ht="36.75" customHeight="1" thickBot="1" x14ac:dyDescent="0.3">
      <c r="C4" s="108"/>
      <c r="D4" s="105"/>
      <c r="E4" s="105"/>
      <c r="F4" s="105"/>
      <c r="G4" s="106"/>
      <c r="H4" s="107"/>
      <c r="I4" s="108"/>
      <c r="J4" s="109"/>
      <c r="K4" s="110"/>
      <c r="L4" s="108"/>
      <c r="M4" s="116"/>
      <c r="N4" s="133"/>
      <c r="O4" s="117"/>
      <c r="P4" s="117"/>
      <c r="Q4" s="11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74">
        <v>3.04</v>
      </c>
      <c r="E5" s="74">
        <v>2.74</v>
      </c>
      <c r="F5" s="82">
        <v>0.95</v>
      </c>
      <c r="G5" s="74">
        <f t="shared" ref="G5:G20" si="0">(IF(D5&lt;1.5,1,0))+(IF(E5&lt;1,1,0))+(IF(F5&lt;0.8,1,0))</f>
        <v>0</v>
      </c>
      <c r="H5" s="81">
        <v>472680871.52999997</v>
      </c>
      <c r="I5" s="81">
        <v>220142022.06999999</v>
      </c>
      <c r="J5" s="74">
        <f t="shared" ref="J5:J20" si="1">IF(I5&lt;0,1,0)+IF(H5&lt;0,1,0)</f>
        <v>0</v>
      </c>
      <c r="K5" s="75">
        <f t="shared" ref="K5:K20" si="2">SUM(I5/11)</f>
        <v>20012911.097272728</v>
      </c>
      <c r="L5" s="76">
        <f>+H5/K5</f>
        <v>23.61879634764454</v>
      </c>
      <c r="M5" s="74">
        <f t="shared" ref="M5:M10" si="3">IF(AND(I5&lt;0,H5&lt;0),2,IF(AND(I5&gt;0,H5&gt;0),0,IF(AND(H5&lt;0,I5&gt;0),IF(ABS((H5/(I5/11)))&lt;3,0,IF(ABS((H5/(I5/11)))&gt;6,2,1)),IF(AND(H5&gt;0,I5&lt;0),IF(ABS((H5/(I5/11)))&lt;3,2,IF(ABS((H5/(I5/11)))&gt;6,0,1))))))</f>
        <v>0</v>
      </c>
      <c r="N5" s="77">
        <f>SUM(G5+J5+M5)</f>
        <v>0</v>
      </c>
      <c r="O5" s="77">
        <f>'ก.ค.65'!N5</f>
        <v>0</v>
      </c>
      <c r="P5" s="81">
        <v>268355128.63999999</v>
      </c>
      <c r="Q5" s="80">
        <v>-11626605.449999999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74">
        <v>2.02</v>
      </c>
      <c r="E6" s="82">
        <v>1.94</v>
      </c>
      <c r="F6" s="74">
        <v>0.93</v>
      </c>
      <c r="G6" s="78">
        <f t="shared" si="0"/>
        <v>0</v>
      </c>
      <c r="H6" s="81">
        <v>137443240.81</v>
      </c>
      <c r="I6" s="81">
        <v>93294178.319999993</v>
      </c>
      <c r="J6" s="78">
        <f>IF(I6&lt;0,1,0)+IF(H6&lt;0,1,0)</f>
        <v>0</v>
      </c>
      <c r="K6" s="75">
        <f t="shared" si="2"/>
        <v>8481288.9381818175</v>
      </c>
      <c r="L6" s="76">
        <f>+H6/K6</f>
        <v>16.205466151641865</v>
      </c>
      <c r="M6" s="74">
        <f t="shared" si="3"/>
        <v>0</v>
      </c>
      <c r="N6" s="77">
        <f>SUM(G6+J6+M6)</f>
        <v>0</v>
      </c>
      <c r="O6" s="77">
        <f>'ก.ค.65'!N6</f>
        <v>0</v>
      </c>
      <c r="P6" s="81">
        <v>122634965.90000001</v>
      </c>
      <c r="Q6" s="80">
        <v>-9774311.7100000009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82">
        <v>3.4</v>
      </c>
      <c r="E7" s="74">
        <v>3.11</v>
      </c>
      <c r="F7" s="82">
        <v>2</v>
      </c>
      <c r="G7" s="74">
        <f t="shared" si="0"/>
        <v>0</v>
      </c>
      <c r="H7" s="81">
        <v>78363175.769999996</v>
      </c>
      <c r="I7" s="81">
        <v>41382829.700000003</v>
      </c>
      <c r="J7" s="74">
        <f t="shared" si="1"/>
        <v>0</v>
      </c>
      <c r="K7" s="75">
        <f t="shared" si="2"/>
        <v>3762075.4272727277</v>
      </c>
      <c r="L7" s="76">
        <f t="shared" ref="L7:L20" si="4">+H7/K7</f>
        <v>20.829772630797159</v>
      </c>
      <c r="M7" s="74">
        <f t="shared" si="3"/>
        <v>0</v>
      </c>
      <c r="N7" s="77">
        <f t="shared" ref="N7:N20" si="5">SUM(G7+J7+M7)</f>
        <v>0</v>
      </c>
      <c r="O7" s="77">
        <f>'ก.ค.65'!N7</f>
        <v>0</v>
      </c>
      <c r="P7" s="81">
        <v>40955707.039999999</v>
      </c>
      <c r="Q7" s="81">
        <v>32744264.289999999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74">
        <v>13.84</v>
      </c>
      <c r="E8" s="74">
        <v>13.57</v>
      </c>
      <c r="F8" s="82">
        <v>9.3000000000000007</v>
      </c>
      <c r="G8" s="78">
        <f t="shared" si="0"/>
        <v>0</v>
      </c>
      <c r="H8" s="81">
        <v>160813584.63999999</v>
      </c>
      <c r="I8" s="81">
        <v>101198643.66</v>
      </c>
      <c r="J8" s="78">
        <f t="shared" si="1"/>
        <v>0</v>
      </c>
      <c r="K8" s="75">
        <f t="shared" si="2"/>
        <v>9199876.6963636354</v>
      </c>
      <c r="L8" s="76">
        <f t="shared" si="4"/>
        <v>17.479971737399865</v>
      </c>
      <c r="M8" s="74">
        <f t="shared" si="3"/>
        <v>0</v>
      </c>
      <c r="N8" s="77">
        <f t="shared" si="5"/>
        <v>0</v>
      </c>
      <c r="O8" s="77">
        <f>'ก.ค.65'!N8</f>
        <v>0</v>
      </c>
      <c r="P8" s="81">
        <v>107433191.04000001</v>
      </c>
      <c r="Q8" s="81">
        <v>103881472.06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74">
        <v>6.36</v>
      </c>
      <c r="E9" s="74">
        <v>5.94</v>
      </c>
      <c r="F9" s="74">
        <v>3.75</v>
      </c>
      <c r="G9" s="74">
        <f t="shared" si="0"/>
        <v>0</v>
      </c>
      <c r="H9" s="81">
        <v>65574355.659999996</v>
      </c>
      <c r="I9" s="81">
        <v>19895469.469999999</v>
      </c>
      <c r="J9" s="74">
        <f t="shared" si="1"/>
        <v>0</v>
      </c>
      <c r="K9" s="75">
        <f t="shared" si="2"/>
        <v>1808679.0427272727</v>
      </c>
      <c r="L9" s="76">
        <f t="shared" si="4"/>
        <v>36.255385345274789</v>
      </c>
      <c r="M9" s="74">
        <f t="shared" si="3"/>
        <v>0</v>
      </c>
      <c r="N9" s="77">
        <f t="shared" si="5"/>
        <v>0</v>
      </c>
      <c r="O9" s="77">
        <f>'ก.ค.65'!N9</f>
        <v>0</v>
      </c>
      <c r="P9" s="81">
        <v>22973564.129999999</v>
      </c>
      <c r="Q9" s="81">
        <v>33596877.829999998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74">
        <v>2.34</v>
      </c>
      <c r="E10" s="82">
        <v>2.2000000000000002</v>
      </c>
      <c r="F10" s="74">
        <v>1.25</v>
      </c>
      <c r="G10" s="74">
        <f t="shared" si="0"/>
        <v>0</v>
      </c>
      <c r="H10" s="81">
        <v>21083552.579999998</v>
      </c>
      <c r="I10" s="81">
        <v>6204007.7400000002</v>
      </c>
      <c r="J10" s="74">
        <f t="shared" si="1"/>
        <v>0</v>
      </c>
      <c r="K10" s="75">
        <f t="shared" si="2"/>
        <v>564000.70363636361</v>
      </c>
      <c r="L10" s="76">
        <f t="shared" si="4"/>
        <v>37.382138788240773</v>
      </c>
      <c r="M10" s="74">
        <f t="shared" si="3"/>
        <v>0</v>
      </c>
      <c r="N10" s="77">
        <f t="shared" si="5"/>
        <v>0</v>
      </c>
      <c r="O10" s="77">
        <f>'ก.ค.65'!N10</f>
        <v>0</v>
      </c>
      <c r="P10" s="81">
        <v>8978700.6799999997</v>
      </c>
      <c r="Q10" s="81">
        <v>3883772.77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74">
        <v>8.83</v>
      </c>
      <c r="E11" s="74">
        <v>8.52</v>
      </c>
      <c r="F11" s="74">
        <v>7.35</v>
      </c>
      <c r="G11" s="74">
        <f t="shared" si="0"/>
        <v>0</v>
      </c>
      <c r="H11" s="81">
        <v>232595389.44999999</v>
      </c>
      <c r="I11" s="81">
        <v>48491839.829999998</v>
      </c>
      <c r="J11" s="74">
        <f t="shared" si="1"/>
        <v>0</v>
      </c>
      <c r="K11" s="75">
        <f t="shared" si="2"/>
        <v>4408349.0754545452</v>
      </c>
      <c r="L11" s="76">
        <f t="shared" si="4"/>
        <v>52.762470818175181</v>
      </c>
      <c r="M11" s="74">
        <f>IF(AND(I11&lt;0,H11&lt;0),2,IF(AND(I11&gt;0,H11&gt;0),0,IF(AND(H11&lt;0,I11&gt;0),IF(ABS((H11/(I11/11)))&lt;3,0,IF(ABS((H11/(I11/11)))&gt;6,2,1)),IF(AND(H11&gt;0,I11&lt;0),IF(ABS((H11/(I11/11)))&lt;3,2,IF(ABS((H11/(I11/1)))&gt;6,0,1))))))</f>
        <v>0</v>
      </c>
      <c r="N11" s="77">
        <f t="shared" si="5"/>
        <v>0</v>
      </c>
      <c r="O11" s="77">
        <f>'ก.ค.65'!N11</f>
        <v>0</v>
      </c>
      <c r="P11" s="81">
        <v>132617168.31999999</v>
      </c>
      <c r="Q11" s="81">
        <v>186578407.03999999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74">
        <v>2.4300000000000002</v>
      </c>
      <c r="E12" s="74">
        <v>2.19</v>
      </c>
      <c r="F12" s="74">
        <v>1.26</v>
      </c>
      <c r="G12" s="74">
        <f t="shared" si="0"/>
        <v>0</v>
      </c>
      <c r="H12" s="81">
        <v>28570636.93</v>
      </c>
      <c r="I12" s="81">
        <v>10834080.689999999</v>
      </c>
      <c r="J12" s="74">
        <f t="shared" si="1"/>
        <v>0</v>
      </c>
      <c r="K12" s="75">
        <f t="shared" si="2"/>
        <v>984916.42636363627</v>
      </c>
      <c r="L12" s="76">
        <f t="shared" si="4"/>
        <v>29.008184009565468</v>
      </c>
      <c r="M12" s="74">
        <f t="shared" ref="M12:M20" si="6">IF(AND(I12&lt;0,H12&lt;0),2,IF(AND(I12&gt;0,H12&gt;0),0,IF(AND(H12&lt;0,I12&gt;0),IF(ABS((H12/(I12/11)))&lt;3,0,IF(ABS((H12/(I12/11)))&gt;6,2,1)),IF(AND(H12&gt;0,I12&lt;0),IF(ABS((H12/(I12/11)))&lt;3,2,IF(ABS((H12/(I12/11)))&gt;6,0,1))))))</f>
        <v>0</v>
      </c>
      <c r="N12" s="77">
        <f t="shared" si="5"/>
        <v>0</v>
      </c>
      <c r="O12" s="77">
        <f>'ก.ค.65'!N12</f>
        <v>0</v>
      </c>
      <c r="P12" s="81">
        <v>13441906.560000001</v>
      </c>
      <c r="Q12" s="81">
        <v>5166067.18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74">
        <v>6.74</v>
      </c>
      <c r="E13" s="82">
        <v>6.6</v>
      </c>
      <c r="F13" s="74">
        <v>4.2699999999999996</v>
      </c>
      <c r="G13" s="74">
        <f t="shared" si="0"/>
        <v>0</v>
      </c>
      <c r="H13" s="81">
        <v>87278870.090000004</v>
      </c>
      <c r="I13" s="81">
        <v>32570864.539999999</v>
      </c>
      <c r="J13" s="74">
        <f t="shared" si="1"/>
        <v>0</v>
      </c>
      <c r="K13" s="75">
        <f t="shared" si="2"/>
        <v>2960987.6854545455</v>
      </c>
      <c r="L13" s="76">
        <f t="shared" si="4"/>
        <v>29.476269191778723</v>
      </c>
      <c r="M13" s="74">
        <f t="shared" si="6"/>
        <v>0</v>
      </c>
      <c r="N13" s="77">
        <f t="shared" si="5"/>
        <v>0</v>
      </c>
      <c r="O13" s="77">
        <f>'ก.ค.65'!N13</f>
        <v>0</v>
      </c>
      <c r="P13" s="81">
        <v>36496856.899999999</v>
      </c>
      <c r="Q13" s="81">
        <v>49617676.490000002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74">
        <v>4.46</v>
      </c>
      <c r="E14" s="74">
        <v>4.2300000000000004</v>
      </c>
      <c r="F14" s="74">
        <v>2.69</v>
      </c>
      <c r="G14" s="74">
        <f t="shared" si="0"/>
        <v>0</v>
      </c>
      <c r="H14" s="81">
        <v>73312516.359999999</v>
      </c>
      <c r="I14" s="81">
        <v>40972216.619999997</v>
      </c>
      <c r="J14" s="74">
        <f t="shared" si="1"/>
        <v>0</v>
      </c>
      <c r="K14" s="75">
        <f t="shared" si="2"/>
        <v>3724746.9654545453</v>
      </c>
      <c r="L14" s="76">
        <f t="shared" si="4"/>
        <v>19.68254945636378</v>
      </c>
      <c r="M14" s="74">
        <f t="shared" si="6"/>
        <v>0</v>
      </c>
      <c r="N14" s="77">
        <f t="shared" si="5"/>
        <v>0</v>
      </c>
      <c r="O14" s="77">
        <f>'ก.ค.65'!N14</f>
        <v>0</v>
      </c>
      <c r="P14" s="81">
        <v>47245422.619999997</v>
      </c>
      <c r="Q14" s="81">
        <v>35808762.740000002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74">
        <v>7.23</v>
      </c>
      <c r="E15" s="74">
        <v>6.85</v>
      </c>
      <c r="F15" s="74">
        <v>5.08</v>
      </c>
      <c r="G15" s="74">
        <f t="shared" si="0"/>
        <v>0</v>
      </c>
      <c r="H15" s="81">
        <v>65429389.700000003</v>
      </c>
      <c r="I15" s="81">
        <v>23638546.780000001</v>
      </c>
      <c r="J15" s="74">
        <f t="shared" si="1"/>
        <v>0</v>
      </c>
      <c r="K15" s="75">
        <f t="shared" si="2"/>
        <v>2148958.7981818183</v>
      </c>
      <c r="L15" s="76">
        <f t="shared" si="4"/>
        <v>30.447019158933255</v>
      </c>
      <c r="M15" s="74">
        <f t="shared" si="6"/>
        <v>0</v>
      </c>
      <c r="N15" s="77">
        <f t="shared" si="5"/>
        <v>0</v>
      </c>
      <c r="O15" s="77">
        <f>'ก.ค.65'!N15</f>
        <v>0</v>
      </c>
      <c r="P15" s="81">
        <v>30383370.559999999</v>
      </c>
      <c r="Q15" s="81">
        <v>42866561.5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74">
        <v>9.18</v>
      </c>
      <c r="E16" s="82">
        <v>8.9</v>
      </c>
      <c r="F16" s="74">
        <v>7.07</v>
      </c>
      <c r="G16" s="74">
        <f t="shared" si="0"/>
        <v>0</v>
      </c>
      <c r="H16" s="81">
        <v>180132060.84</v>
      </c>
      <c r="I16" s="81">
        <v>49992936.159999996</v>
      </c>
      <c r="J16" s="74">
        <f t="shared" si="1"/>
        <v>0</v>
      </c>
      <c r="K16" s="75">
        <f t="shared" si="2"/>
        <v>4544812.3781818179</v>
      </c>
      <c r="L16" s="76">
        <f t="shared" si="4"/>
        <v>39.634652841722591</v>
      </c>
      <c r="M16" s="74">
        <f t="shared" si="6"/>
        <v>0</v>
      </c>
      <c r="N16" s="77">
        <f t="shared" si="5"/>
        <v>0</v>
      </c>
      <c r="O16" s="77">
        <f>'ก.ค.65'!N16</f>
        <v>0</v>
      </c>
      <c r="P16" s="81">
        <v>37024636.560000002</v>
      </c>
      <c r="Q16" s="81">
        <v>133642408.48999999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74">
        <v>3.61</v>
      </c>
      <c r="E17" s="74">
        <v>3.47</v>
      </c>
      <c r="F17" s="74">
        <v>2.5299999999999998</v>
      </c>
      <c r="G17" s="74">
        <f t="shared" si="0"/>
        <v>0</v>
      </c>
      <c r="H17" s="81">
        <v>23516872.949999999</v>
      </c>
      <c r="I17" s="81">
        <v>9575458.1799999997</v>
      </c>
      <c r="J17" s="74">
        <f t="shared" si="1"/>
        <v>0</v>
      </c>
      <c r="K17" s="75">
        <f t="shared" si="2"/>
        <v>870496.19818181812</v>
      </c>
      <c r="L17" s="76">
        <f t="shared" si="4"/>
        <v>27.015480365243473</v>
      </c>
      <c r="M17" s="74">
        <f t="shared" si="6"/>
        <v>0</v>
      </c>
      <c r="N17" s="77">
        <f t="shared" si="5"/>
        <v>0</v>
      </c>
      <c r="O17" s="77">
        <f>'ก.ค.65'!N17</f>
        <v>0</v>
      </c>
      <c r="P17" s="81">
        <v>10907202.82</v>
      </c>
      <c r="Q17" s="81">
        <v>13704051.470000001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74">
        <v>11.36</v>
      </c>
      <c r="E18" s="74">
        <v>11.19</v>
      </c>
      <c r="F18" s="82">
        <v>9.6</v>
      </c>
      <c r="G18" s="74">
        <f t="shared" si="0"/>
        <v>0</v>
      </c>
      <c r="H18" s="81">
        <v>182805556.44999999</v>
      </c>
      <c r="I18" s="81">
        <v>19874223.170000002</v>
      </c>
      <c r="J18" s="74">
        <f t="shared" si="1"/>
        <v>0</v>
      </c>
      <c r="K18" s="75">
        <f t="shared" si="2"/>
        <v>1806747.560909091</v>
      </c>
      <c r="L18" s="76">
        <f t="shared" si="4"/>
        <v>101.17935698666102</v>
      </c>
      <c r="M18" s="74">
        <f t="shared" si="6"/>
        <v>0</v>
      </c>
      <c r="N18" s="77">
        <f t="shared" si="5"/>
        <v>0</v>
      </c>
      <c r="O18" s="77">
        <f>'ก.ค.65'!N18</f>
        <v>0</v>
      </c>
      <c r="P18" s="81">
        <v>25552663.370000001</v>
      </c>
      <c r="Q18" s="81">
        <v>151752710.40000001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74">
        <v>5.22</v>
      </c>
      <c r="E19" s="74">
        <v>4.7699999999999996</v>
      </c>
      <c r="F19" s="82">
        <v>1.74</v>
      </c>
      <c r="G19" s="74">
        <f t="shared" si="0"/>
        <v>0</v>
      </c>
      <c r="H19" s="81">
        <v>30915063.699999999</v>
      </c>
      <c r="I19" s="81">
        <v>20160519.02</v>
      </c>
      <c r="J19" s="74">
        <f t="shared" si="1"/>
        <v>0</v>
      </c>
      <c r="K19" s="75">
        <f t="shared" si="2"/>
        <v>1832774.4563636363</v>
      </c>
      <c r="L19" s="76">
        <f t="shared" si="4"/>
        <v>16.867904063513539</v>
      </c>
      <c r="M19" s="74">
        <f t="shared" si="6"/>
        <v>0</v>
      </c>
      <c r="N19" s="77">
        <f t="shared" si="5"/>
        <v>0</v>
      </c>
      <c r="O19" s="77">
        <f>'ก.ค.65'!N19</f>
        <v>0</v>
      </c>
      <c r="P19" s="81">
        <v>23605037.199999999</v>
      </c>
      <c r="Q19" s="81">
        <v>5381266.2000000002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74">
        <v>3.08</v>
      </c>
      <c r="E20" s="74">
        <v>2.76</v>
      </c>
      <c r="F20" s="82">
        <v>1.5</v>
      </c>
      <c r="G20" s="74">
        <f t="shared" si="0"/>
        <v>0</v>
      </c>
      <c r="H20" s="81">
        <v>14089756.01</v>
      </c>
      <c r="I20" s="83">
        <v>-115394.99</v>
      </c>
      <c r="J20" s="84">
        <f t="shared" si="1"/>
        <v>1</v>
      </c>
      <c r="K20" s="85">
        <f t="shared" si="2"/>
        <v>-10490.453636363636</v>
      </c>
      <c r="L20" s="76">
        <f t="shared" si="4"/>
        <v>-1343.1026434509852</v>
      </c>
      <c r="M20" s="74">
        <f t="shared" si="6"/>
        <v>0</v>
      </c>
      <c r="N20" s="77">
        <f t="shared" si="5"/>
        <v>1</v>
      </c>
      <c r="O20" s="77">
        <f>'ก.ค.65'!N20</f>
        <v>0</v>
      </c>
      <c r="P20" s="81">
        <v>3410510.17</v>
      </c>
      <c r="Q20" s="81">
        <v>3384690.1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72"/>
      <c r="N27" s="72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C1:N1"/>
    <mergeCell ref="C2:C4"/>
    <mergeCell ref="D2:G2"/>
    <mergeCell ref="H2:J2"/>
    <mergeCell ref="K2:M2"/>
    <mergeCell ref="N2:N4"/>
    <mergeCell ref="K3:K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95712-475D-4784-8D9B-8CE059EE5A2E}">
  <sheetPr codeName="Sheet12">
    <tabColor rgb="FF92D050"/>
    <pageSetUpPr fitToPage="1"/>
  </sheetPr>
  <dimension ref="A1:AJ44"/>
  <sheetViews>
    <sheetView tabSelected="1"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10" sqref="P10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2" t="s">
        <v>89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11"/>
      <c r="O1" s="58" t="s">
        <v>53</v>
      </c>
      <c r="P1" s="65">
        <v>243178</v>
      </c>
      <c r="Q1" s="41"/>
    </row>
    <row r="2" spans="1:25" ht="54.75" customHeight="1" thickBot="1" x14ac:dyDescent="0.3">
      <c r="C2" s="108" t="s">
        <v>41</v>
      </c>
      <c r="D2" s="112" t="s">
        <v>40</v>
      </c>
      <c r="E2" s="112"/>
      <c r="F2" s="112"/>
      <c r="G2" s="112"/>
      <c r="H2" s="113" t="s">
        <v>39</v>
      </c>
      <c r="I2" s="113"/>
      <c r="J2" s="113"/>
      <c r="K2" s="114" t="s">
        <v>38</v>
      </c>
      <c r="L2" s="114"/>
      <c r="M2" s="134"/>
      <c r="N2" s="139" t="s">
        <v>90</v>
      </c>
      <c r="O2" s="137" t="s">
        <v>91</v>
      </c>
      <c r="P2" s="119" t="s">
        <v>56</v>
      </c>
      <c r="Q2" s="118" t="s">
        <v>37</v>
      </c>
    </row>
    <row r="3" spans="1:25" ht="38.25" customHeight="1" thickBot="1" x14ac:dyDescent="0.3">
      <c r="C3" s="108"/>
      <c r="D3" s="105" t="s">
        <v>36</v>
      </c>
      <c r="E3" s="105" t="s">
        <v>35</v>
      </c>
      <c r="F3" s="105" t="s">
        <v>34</v>
      </c>
      <c r="G3" s="106" t="s">
        <v>29</v>
      </c>
      <c r="H3" s="107" t="s">
        <v>33</v>
      </c>
      <c r="I3" s="108" t="s">
        <v>32</v>
      </c>
      <c r="J3" s="109" t="s">
        <v>29</v>
      </c>
      <c r="K3" s="110" t="s">
        <v>31</v>
      </c>
      <c r="L3" s="108" t="s">
        <v>30</v>
      </c>
      <c r="M3" s="135" t="s">
        <v>29</v>
      </c>
      <c r="N3" s="140"/>
      <c r="O3" s="137"/>
      <c r="P3" s="120"/>
      <c r="Q3" s="118"/>
    </row>
    <row r="4" spans="1:25" ht="36.75" customHeight="1" thickBot="1" x14ac:dyDescent="0.3">
      <c r="C4" s="108"/>
      <c r="D4" s="105"/>
      <c r="E4" s="105"/>
      <c r="F4" s="105"/>
      <c r="G4" s="106"/>
      <c r="H4" s="107"/>
      <c r="I4" s="108"/>
      <c r="J4" s="109"/>
      <c r="K4" s="110"/>
      <c r="L4" s="108"/>
      <c r="M4" s="135"/>
      <c r="N4" s="140"/>
      <c r="O4" s="137"/>
      <c r="P4" s="121"/>
      <c r="Q4" s="11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54">
        <v>2.44</v>
      </c>
      <c r="E5" s="47">
        <v>2.19</v>
      </c>
      <c r="F5" s="47">
        <v>0.96</v>
      </c>
      <c r="G5" s="47">
        <f t="shared" ref="G5:G20" si="0">(IF(D5&lt;1.5,1,0))+(IF(E5&lt;1,1,0))+(IF(F5&lt;0.8,1,0))</f>
        <v>0</v>
      </c>
      <c r="H5" s="51">
        <v>353599164.83999997</v>
      </c>
      <c r="I5" s="51">
        <v>72390779.239999995</v>
      </c>
      <c r="J5" s="47">
        <f t="shared" ref="J5:J20" si="1">IF(I5&lt;0,1,0)+IF(H5&lt;0,1,0)</f>
        <v>0</v>
      </c>
      <c r="K5" s="49">
        <f>SUM(I5/12)</f>
        <v>6032564.9366666665</v>
      </c>
      <c r="L5" s="86">
        <f>+H5/K5</f>
        <v>58.61506151235622</v>
      </c>
      <c r="M5" s="136">
        <f t="shared" ref="M5:M17" si="2">IF(AND(I5&lt;0,H5&lt;0),2,IF(AND(I5&gt;0,H5&gt;0),0,IF(AND(H5&lt;0,I5&gt;0),IF(ABS((H5/(I5/12)))&lt;3,0,IF(ABS((H5/(I5/12)))&gt;6,2,1)),IF(AND(H5&gt;0,I5&lt;0),IF(ABS((H5/(I5/12)))&lt;3,2,IF(ABS((H5/(I5/12)))&gt;6,0,1))))))</f>
        <v>0</v>
      </c>
      <c r="N5" s="141">
        <f>SUM(G5+J5+M5)</f>
        <v>0</v>
      </c>
      <c r="O5" s="138">
        <f>'ส.ค.65'!N5</f>
        <v>0</v>
      </c>
      <c r="P5" s="69">
        <v>155116004.27000001</v>
      </c>
      <c r="Q5" s="62">
        <v>-10458455.810000001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54">
        <v>2.1</v>
      </c>
      <c r="E6" s="47">
        <v>2.0299999999999998</v>
      </c>
      <c r="F6" s="54">
        <v>0.98</v>
      </c>
      <c r="G6" s="61">
        <f t="shared" si="0"/>
        <v>0</v>
      </c>
      <c r="H6" s="51">
        <v>139630255.91</v>
      </c>
      <c r="I6" s="51">
        <v>95179273.900000006</v>
      </c>
      <c r="J6" s="61">
        <f>IF(I6&lt;0,1,0)+IF(H6&lt;0,1,0)</f>
        <v>0</v>
      </c>
      <c r="K6" s="49">
        <f t="shared" ref="K6:K20" si="3">SUM(I6/12)</f>
        <v>7931606.1583333341</v>
      </c>
      <c r="L6" s="86">
        <f>+H6/K6</f>
        <v>17.604285074505068</v>
      </c>
      <c r="M6" s="136">
        <f t="shared" si="2"/>
        <v>0</v>
      </c>
      <c r="N6" s="141">
        <f>SUM(G6+J6+M6)</f>
        <v>0</v>
      </c>
      <c r="O6" s="138">
        <f>'ส.ค.65'!N6</f>
        <v>0</v>
      </c>
      <c r="P6" s="69">
        <v>129355586.98</v>
      </c>
      <c r="Q6" s="62">
        <v>-4339176.2699999996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>
        <v>3.44</v>
      </c>
      <c r="E7" s="47">
        <v>3.14</v>
      </c>
      <c r="F7" s="47">
        <v>2.35</v>
      </c>
      <c r="G7" s="47">
        <f t="shared" si="0"/>
        <v>0</v>
      </c>
      <c r="H7" s="51">
        <v>73442205.769999996</v>
      </c>
      <c r="I7" s="51">
        <v>35612826.310000002</v>
      </c>
      <c r="J7" s="47">
        <f t="shared" si="1"/>
        <v>0</v>
      </c>
      <c r="K7" s="49">
        <f t="shared" si="3"/>
        <v>2967735.5258333334</v>
      </c>
      <c r="L7" s="86">
        <f t="shared" ref="L7:L20" si="4">+H7/K7</f>
        <v>24.746883652773469</v>
      </c>
      <c r="M7" s="136">
        <f t="shared" si="2"/>
        <v>0</v>
      </c>
      <c r="N7" s="141">
        <f t="shared" ref="N7:N20" si="5">SUM(G7+J7+M7)</f>
        <v>0</v>
      </c>
      <c r="O7" s="138">
        <f>'ส.ค.65'!N7</f>
        <v>0</v>
      </c>
      <c r="P7" s="69">
        <v>37315371.310000002</v>
      </c>
      <c r="Q7" s="51">
        <v>40544582.450000003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>
        <v>16.510000000000002</v>
      </c>
      <c r="E8" s="47">
        <v>16.22</v>
      </c>
      <c r="F8" s="47">
        <v>13.53</v>
      </c>
      <c r="G8" s="61">
        <f t="shared" si="0"/>
        <v>0</v>
      </c>
      <c r="H8" s="51">
        <v>133700170.15000001</v>
      </c>
      <c r="I8" s="51">
        <v>72658879.480000004</v>
      </c>
      <c r="J8" s="61">
        <f t="shared" si="1"/>
        <v>0</v>
      </c>
      <c r="K8" s="49">
        <f t="shared" si="3"/>
        <v>6054906.623333334</v>
      </c>
      <c r="L8" s="86">
        <f t="shared" si="4"/>
        <v>22.081293481020801</v>
      </c>
      <c r="M8" s="136">
        <f t="shared" si="2"/>
        <v>0</v>
      </c>
      <c r="N8" s="141">
        <f t="shared" si="5"/>
        <v>0</v>
      </c>
      <c r="O8" s="138">
        <f>'ส.ค.65'!N8</f>
        <v>0</v>
      </c>
      <c r="P8" s="69">
        <v>79549813.900000006</v>
      </c>
      <c r="Q8" s="51">
        <v>107981299.14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>
        <v>6.72</v>
      </c>
      <c r="E9" s="47">
        <v>6.34</v>
      </c>
      <c r="F9" s="47">
        <v>4.1399999999999997</v>
      </c>
      <c r="G9" s="47">
        <f t="shared" si="0"/>
        <v>0</v>
      </c>
      <c r="H9" s="51">
        <v>63587897.210000001</v>
      </c>
      <c r="I9" s="51">
        <v>15225835.130000001</v>
      </c>
      <c r="J9" s="47">
        <f t="shared" si="1"/>
        <v>0</v>
      </c>
      <c r="K9" s="49">
        <f t="shared" si="3"/>
        <v>1268819.5941666667</v>
      </c>
      <c r="L9" s="86">
        <f t="shared" si="4"/>
        <v>50.11579069423432</v>
      </c>
      <c r="M9" s="136">
        <f t="shared" si="2"/>
        <v>0</v>
      </c>
      <c r="N9" s="141">
        <f t="shared" si="5"/>
        <v>0</v>
      </c>
      <c r="O9" s="138">
        <f>'ส.ค.65'!N9</f>
        <v>0</v>
      </c>
      <c r="P9" s="69">
        <v>20898868.890000001</v>
      </c>
      <c r="Q9" s="51">
        <v>34852451.789999999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>
        <v>2.17</v>
      </c>
      <c r="E10" s="47">
        <v>2.0299999999999998</v>
      </c>
      <c r="F10" s="47">
        <v>1.05</v>
      </c>
      <c r="G10" s="47">
        <f t="shared" si="0"/>
        <v>0</v>
      </c>
      <c r="H10" s="51">
        <v>19290904.760000002</v>
      </c>
      <c r="I10" s="51">
        <v>4099186.53</v>
      </c>
      <c r="J10" s="47">
        <f t="shared" si="1"/>
        <v>0</v>
      </c>
      <c r="K10" s="49">
        <f t="shared" si="3"/>
        <v>341598.8775</v>
      </c>
      <c r="L10" s="86">
        <f t="shared" si="4"/>
        <v>56.472389198644251</v>
      </c>
      <c r="M10" s="136">
        <f t="shared" si="2"/>
        <v>0</v>
      </c>
      <c r="N10" s="141">
        <f t="shared" si="5"/>
        <v>0</v>
      </c>
      <c r="O10" s="138">
        <f>'ส.ค.65'!N10</f>
        <v>0</v>
      </c>
      <c r="P10" s="69">
        <v>7208729.1100000003</v>
      </c>
      <c r="Q10" s="51">
        <v>825849.12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>
        <v>11.39</v>
      </c>
      <c r="E11" s="47">
        <v>11.02</v>
      </c>
      <c r="F11" s="47">
        <v>8.84</v>
      </c>
      <c r="G11" s="47">
        <f t="shared" si="0"/>
        <v>0</v>
      </c>
      <c r="H11" s="51">
        <v>261470926.09</v>
      </c>
      <c r="I11" s="51">
        <v>69165223.200000003</v>
      </c>
      <c r="J11" s="47">
        <f t="shared" si="1"/>
        <v>0</v>
      </c>
      <c r="K11" s="49">
        <f t="shared" si="3"/>
        <v>5763768.6000000006</v>
      </c>
      <c r="L11" s="86">
        <f t="shared" si="4"/>
        <v>45.364577281954027</v>
      </c>
      <c r="M11" s="136">
        <f t="shared" si="2"/>
        <v>0</v>
      </c>
      <c r="N11" s="141">
        <f t="shared" si="5"/>
        <v>0</v>
      </c>
      <c r="O11" s="138">
        <f>'ส.ค.65'!N11</f>
        <v>0</v>
      </c>
      <c r="P11" s="69">
        <v>161278946.25999999</v>
      </c>
      <c r="Q11" s="51">
        <v>194914002.50999999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54">
        <v>2.35</v>
      </c>
      <c r="E12" s="54">
        <v>2.0699999999999998</v>
      </c>
      <c r="F12" s="54">
        <v>1.1200000000000001</v>
      </c>
      <c r="G12" s="47">
        <f t="shared" si="0"/>
        <v>0</v>
      </c>
      <c r="H12" s="51">
        <v>24987742.079999998</v>
      </c>
      <c r="I12" s="51">
        <v>8804532.2200000007</v>
      </c>
      <c r="J12" s="47">
        <f t="shared" si="1"/>
        <v>0</v>
      </c>
      <c r="K12" s="49">
        <f t="shared" si="3"/>
        <v>733711.01833333343</v>
      </c>
      <c r="L12" s="86">
        <f t="shared" si="4"/>
        <v>34.056653717373749</v>
      </c>
      <c r="M12" s="136">
        <f t="shared" si="2"/>
        <v>0</v>
      </c>
      <c r="N12" s="141">
        <f t="shared" si="5"/>
        <v>0</v>
      </c>
      <c r="O12" s="138">
        <f>'ส.ค.65'!N12</f>
        <v>0</v>
      </c>
      <c r="P12" s="69">
        <v>11715640.49</v>
      </c>
      <c r="Q12" s="51">
        <v>1398350.29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54">
        <v>10.199999999999999</v>
      </c>
      <c r="E13" s="47">
        <v>9.98</v>
      </c>
      <c r="F13" s="47">
        <v>5.65</v>
      </c>
      <c r="G13" s="47">
        <f t="shared" si="0"/>
        <v>0</v>
      </c>
      <c r="H13" s="51">
        <v>99306245.129999995</v>
      </c>
      <c r="I13" s="51">
        <v>50605565.93</v>
      </c>
      <c r="J13" s="47">
        <f t="shared" si="1"/>
        <v>0</v>
      </c>
      <c r="K13" s="49">
        <f t="shared" si="3"/>
        <v>4217130.4941666666</v>
      </c>
      <c r="L13" s="86">
        <f t="shared" si="4"/>
        <v>23.548297892931004</v>
      </c>
      <c r="M13" s="136">
        <f t="shared" si="2"/>
        <v>0</v>
      </c>
      <c r="N13" s="141">
        <f t="shared" si="5"/>
        <v>0</v>
      </c>
      <c r="O13" s="138">
        <f>'ส.ค.65'!N13</f>
        <v>0</v>
      </c>
      <c r="P13" s="69">
        <v>55095641.409999996</v>
      </c>
      <c r="Q13" s="51">
        <v>50047397.229999997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54">
        <v>4.9400000000000004</v>
      </c>
      <c r="E14" s="47">
        <v>4.82</v>
      </c>
      <c r="F14" s="47">
        <v>3.33</v>
      </c>
      <c r="G14" s="47">
        <f t="shared" si="0"/>
        <v>0</v>
      </c>
      <c r="H14" s="51">
        <v>69784025.950000003</v>
      </c>
      <c r="I14" s="51">
        <v>37292811.990000002</v>
      </c>
      <c r="J14" s="47">
        <f t="shared" si="1"/>
        <v>0</v>
      </c>
      <c r="K14" s="49">
        <f t="shared" si="3"/>
        <v>3107734.3325</v>
      </c>
      <c r="L14" s="86">
        <f t="shared" si="4"/>
        <v>22.45495222040509</v>
      </c>
      <c r="M14" s="136">
        <f t="shared" si="2"/>
        <v>0</v>
      </c>
      <c r="N14" s="141">
        <f t="shared" si="5"/>
        <v>0</v>
      </c>
      <c r="O14" s="138">
        <f>'ส.ค.65'!N14</f>
        <v>0</v>
      </c>
      <c r="P14" s="69">
        <v>44245642.850000001</v>
      </c>
      <c r="Q14" s="51">
        <v>41363618.859999999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>
        <v>6.89</v>
      </c>
      <c r="E15" s="54">
        <v>6.49</v>
      </c>
      <c r="F15" s="47">
        <v>5.34</v>
      </c>
      <c r="G15" s="47">
        <f t="shared" si="0"/>
        <v>0</v>
      </c>
      <c r="H15" s="51">
        <v>60901767.560000002</v>
      </c>
      <c r="I15" s="51">
        <v>17768577.129999999</v>
      </c>
      <c r="J15" s="47">
        <f t="shared" si="1"/>
        <v>0</v>
      </c>
      <c r="K15" s="49">
        <f t="shared" si="3"/>
        <v>1480714.7608333332</v>
      </c>
      <c r="L15" s="86">
        <f t="shared" si="4"/>
        <v>41.129979365995531</v>
      </c>
      <c r="M15" s="136">
        <f t="shared" si="2"/>
        <v>0</v>
      </c>
      <c r="N15" s="141">
        <f t="shared" si="5"/>
        <v>0</v>
      </c>
      <c r="O15" s="138">
        <f>'ส.ค.65'!N15</f>
        <v>0</v>
      </c>
      <c r="P15" s="69">
        <v>25602812.5</v>
      </c>
      <c r="Q15" s="51">
        <v>44842519.840000004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>
        <v>10.29</v>
      </c>
      <c r="E16" s="54">
        <v>9.98</v>
      </c>
      <c r="F16" s="54">
        <v>7.82</v>
      </c>
      <c r="G16" s="47">
        <f t="shared" si="0"/>
        <v>0</v>
      </c>
      <c r="H16" s="51">
        <v>180534840.03</v>
      </c>
      <c r="I16" s="51">
        <v>49564224.229999997</v>
      </c>
      <c r="J16" s="47">
        <f t="shared" si="1"/>
        <v>0</v>
      </c>
      <c r="K16" s="49">
        <f t="shared" si="3"/>
        <v>4130352.0191666665</v>
      </c>
      <c r="L16" s="86">
        <f t="shared" si="4"/>
        <v>43.709310778412643</v>
      </c>
      <c r="M16" s="136">
        <f t="shared" si="2"/>
        <v>0</v>
      </c>
      <c r="N16" s="141">
        <f t="shared" si="5"/>
        <v>0</v>
      </c>
      <c r="O16" s="138">
        <f>'ส.ค.65'!N16</f>
        <v>0</v>
      </c>
      <c r="P16" s="69">
        <v>37976404.090000004</v>
      </c>
      <c r="Q16" s="51">
        <v>132465642.34999999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>
        <v>3.67</v>
      </c>
      <c r="E17" s="47">
        <v>3.53</v>
      </c>
      <c r="F17" s="54">
        <v>2.83</v>
      </c>
      <c r="G17" s="47">
        <f t="shared" si="0"/>
        <v>0</v>
      </c>
      <c r="H17" s="51">
        <v>22874878.120000001</v>
      </c>
      <c r="I17" s="51">
        <v>9482520.8900000006</v>
      </c>
      <c r="J17" s="47">
        <f t="shared" si="1"/>
        <v>0</v>
      </c>
      <c r="K17" s="49">
        <f t="shared" si="3"/>
        <v>790210.07416666672</v>
      </c>
      <c r="L17" s="86">
        <f t="shared" si="4"/>
        <v>28.947844209811173</v>
      </c>
      <c r="M17" s="136">
        <f t="shared" si="2"/>
        <v>0</v>
      </c>
      <c r="N17" s="141">
        <f t="shared" si="5"/>
        <v>0</v>
      </c>
      <c r="O17" s="138">
        <f>'ส.ค.65'!N17</f>
        <v>0</v>
      </c>
      <c r="P17" s="69">
        <v>11086492.24</v>
      </c>
      <c r="Q17" s="51">
        <v>15712252.720000001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54">
        <v>13.4</v>
      </c>
      <c r="E18" s="47">
        <v>13.22</v>
      </c>
      <c r="F18" s="47">
        <v>11.49</v>
      </c>
      <c r="G18" s="47">
        <f t="shared" si="0"/>
        <v>0</v>
      </c>
      <c r="H18" s="51">
        <v>182429277.59999999</v>
      </c>
      <c r="I18" s="51">
        <v>22909786.949999999</v>
      </c>
      <c r="J18" s="47">
        <f t="shared" si="1"/>
        <v>0</v>
      </c>
      <c r="K18" s="49">
        <f t="shared" si="3"/>
        <v>1909148.9124999999</v>
      </c>
      <c r="L18" s="86">
        <f t="shared" si="4"/>
        <v>95.555289797227914</v>
      </c>
      <c r="M18" s="136">
        <f>IF(AND(I18&lt;0,H18&lt;0),2,IF(AND(I18&gt;0,H18&gt;0),0,IF(AND(H18&lt;0,I18&gt;0),IF(ABS((H18/(I18/12)))&lt;3,0,IF(ABS((H18/(I18/12)))&gt;6,2,1)),IF(AND(H18&gt;0,I18&lt;0),IF(ABS((H18/(I18/12)))&lt;3,2,IF(ABS((H18/(I18/1)))&gt;6,0,1))))))</f>
        <v>0</v>
      </c>
      <c r="N18" s="141">
        <f t="shared" si="5"/>
        <v>0</v>
      </c>
      <c r="O18" s="138">
        <f>'ส.ค.65'!N18</f>
        <v>0</v>
      </c>
      <c r="P18" s="69">
        <v>25716521.149999999</v>
      </c>
      <c r="Q18" s="51">
        <v>154288673.22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>
        <v>4.62</v>
      </c>
      <c r="E19" s="47">
        <v>4.1500000000000004</v>
      </c>
      <c r="F19" s="47">
        <v>1.72</v>
      </c>
      <c r="G19" s="47">
        <f t="shared" si="0"/>
        <v>0</v>
      </c>
      <c r="H19" s="51">
        <v>25862043.870000001</v>
      </c>
      <c r="I19" s="51">
        <v>5895721.4299999997</v>
      </c>
      <c r="J19" s="47">
        <f t="shared" si="1"/>
        <v>0</v>
      </c>
      <c r="K19" s="49">
        <f t="shared" si="3"/>
        <v>491310.11916666664</v>
      </c>
      <c r="L19" s="86">
        <f t="shared" si="4"/>
        <v>52.63893997108341</v>
      </c>
      <c r="M19" s="136">
        <f>IF(AND(I19&lt;0,H19&lt;0),2,IF(AND(I19&gt;0,H19&gt;0),0,IF(AND(H19&lt;0,I19&gt;0),IF(ABS((H19/(I19/12)))&lt;3,0,IF(ABS((H19/(I19/12)))&gt;6,2,1)),IF(AND(H19&gt;0,I19&lt;0),IF(ABS((H19/(I19/12)))&lt;3,2,IF(ABS((H19/(I19/12)))&gt;6,0,1))))))</f>
        <v>0</v>
      </c>
      <c r="N19" s="141">
        <f t="shared" si="5"/>
        <v>0</v>
      </c>
      <c r="O19" s="138">
        <f>'ส.ค.65'!N19</f>
        <v>0</v>
      </c>
      <c r="P19" s="69">
        <v>9717647.9700000007</v>
      </c>
      <c r="Q19" s="51">
        <v>5155091.58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>
        <v>3.07</v>
      </c>
      <c r="E20" s="47">
        <v>2.82</v>
      </c>
      <c r="F20" s="54">
        <v>1.1000000000000001</v>
      </c>
      <c r="G20" s="47">
        <f t="shared" si="0"/>
        <v>0</v>
      </c>
      <c r="H20" s="51">
        <v>14813508.960000001</v>
      </c>
      <c r="I20" s="51">
        <v>572429.89</v>
      </c>
      <c r="J20" s="47">
        <f t="shared" si="1"/>
        <v>0</v>
      </c>
      <c r="K20" s="49">
        <f t="shared" si="3"/>
        <v>47702.490833333337</v>
      </c>
      <c r="L20" s="86">
        <f t="shared" si="4"/>
        <v>310.53952741706064</v>
      </c>
      <c r="M20" s="136">
        <f>IF(AND(I20&lt;0,H20&lt;0),2,IF(AND(I20&gt;0,H20&gt;0),0,IF(AND(H20&lt;0,I20&gt;0),IF(ABS((H20/(I20/12)))&lt;3,0,IF(ABS((H20/(I20/12)))&gt;6,2,1)),IF(AND(H20&gt;0,I20&lt;0),IF(ABS((H20/(I20/12)))&lt;3,2,IF(ABS((H20/(I20/12)))&gt;6,0,1))))))</f>
        <v>0</v>
      </c>
      <c r="N20" s="142">
        <f t="shared" si="5"/>
        <v>0</v>
      </c>
      <c r="O20" s="138">
        <f>'ส.ค.65'!N20</f>
        <v>1</v>
      </c>
      <c r="P20" s="69">
        <v>4182565.01</v>
      </c>
      <c r="Q20" s="51">
        <v>699207.49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72"/>
      <c r="N27" s="72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C1:N1"/>
    <mergeCell ref="C2:C4"/>
    <mergeCell ref="D2:G2"/>
    <mergeCell ref="H2:J2"/>
    <mergeCell ref="K2:M2"/>
    <mergeCell ref="N2:N4"/>
    <mergeCell ref="K3:K4"/>
    <mergeCell ref="L3:L4"/>
    <mergeCell ref="M3:M4"/>
  </mergeCells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11" sqref="K11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1" t="s">
        <v>60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58" t="s">
        <v>53</v>
      </c>
      <c r="P1" s="41">
        <v>44546</v>
      </c>
    </row>
    <row r="2" spans="1:25" ht="54.75" customHeight="1" thickBot="1" x14ac:dyDescent="0.3">
      <c r="C2" s="108" t="s">
        <v>41</v>
      </c>
      <c r="D2" s="112" t="s">
        <v>40</v>
      </c>
      <c r="E2" s="112"/>
      <c r="F2" s="112"/>
      <c r="G2" s="112"/>
      <c r="H2" s="113" t="s">
        <v>39</v>
      </c>
      <c r="I2" s="113"/>
      <c r="J2" s="113"/>
      <c r="K2" s="114" t="s">
        <v>38</v>
      </c>
      <c r="L2" s="114"/>
      <c r="M2" s="114"/>
      <c r="N2" s="115" t="s">
        <v>61</v>
      </c>
      <c r="O2" s="117" t="s">
        <v>62</v>
      </c>
      <c r="P2" s="119" t="s">
        <v>56</v>
      </c>
      <c r="Q2" s="118" t="s">
        <v>37</v>
      </c>
    </row>
    <row r="3" spans="1:25" ht="38.25" customHeight="1" thickBot="1" x14ac:dyDescent="0.3">
      <c r="C3" s="108"/>
      <c r="D3" s="105" t="s">
        <v>36</v>
      </c>
      <c r="E3" s="105" t="s">
        <v>35</v>
      </c>
      <c r="F3" s="105" t="s">
        <v>34</v>
      </c>
      <c r="G3" s="106" t="s">
        <v>29</v>
      </c>
      <c r="H3" s="107" t="s">
        <v>33</v>
      </c>
      <c r="I3" s="108" t="s">
        <v>32</v>
      </c>
      <c r="J3" s="109" t="s">
        <v>29</v>
      </c>
      <c r="K3" s="110" t="s">
        <v>31</v>
      </c>
      <c r="L3" s="108" t="s">
        <v>30</v>
      </c>
      <c r="M3" s="116" t="s">
        <v>29</v>
      </c>
      <c r="N3" s="115"/>
      <c r="O3" s="117"/>
      <c r="P3" s="120"/>
      <c r="Q3" s="118"/>
    </row>
    <row r="4" spans="1:25" ht="36.75" customHeight="1" thickBot="1" x14ac:dyDescent="0.3">
      <c r="C4" s="108"/>
      <c r="D4" s="105"/>
      <c r="E4" s="105"/>
      <c r="F4" s="105"/>
      <c r="G4" s="106"/>
      <c r="H4" s="107"/>
      <c r="I4" s="108"/>
      <c r="J4" s="109"/>
      <c r="K4" s="110"/>
      <c r="L4" s="108"/>
      <c r="M4" s="116"/>
      <c r="N4" s="115"/>
      <c r="O4" s="117"/>
      <c r="P4" s="121"/>
      <c r="Q4" s="11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>
        <v>2.36</v>
      </c>
      <c r="E5" s="47">
        <v>2.16</v>
      </c>
      <c r="F5" s="67">
        <v>0.7</v>
      </c>
      <c r="G5" s="42">
        <f t="shared" ref="G5:G20" si="0">(IF(D5&lt;1.5,1,0))+(IF(E5&lt;1,1,0))+(IF(F5&lt;0.8,1,0))</f>
        <v>1</v>
      </c>
      <c r="H5" s="51">
        <v>486304245.16000003</v>
      </c>
      <c r="I5" s="52">
        <v>125236635.51000001</v>
      </c>
      <c r="J5" s="47">
        <f t="shared" ref="J5:J20" si="1">IF(I5&lt;0,1,0)+IF(H5&lt;0,1,0)</f>
        <v>0</v>
      </c>
      <c r="K5" s="49">
        <f t="shared" ref="K5:K20" si="2">SUM(I5/2)</f>
        <v>62618317.755000003</v>
      </c>
      <c r="L5" s="45">
        <f>+H5/K5</f>
        <v>7.7661659174989444</v>
      </c>
      <c r="M5" s="43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46">
        <f t="shared" ref="N5:N20" si="3">SUM(G5+J5+M5)</f>
        <v>1</v>
      </c>
      <c r="O5" s="46">
        <f>'ต.ค.64'!N5</f>
        <v>1</v>
      </c>
      <c r="P5" s="69">
        <v>140529784.65000001</v>
      </c>
      <c r="Q5" s="62">
        <v>-105525263.55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7">
        <v>1.61</v>
      </c>
      <c r="E6" s="47">
        <v>1.53</v>
      </c>
      <c r="F6" s="47">
        <v>0.82</v>
      </c>
      <c r="G6" s="61">
        <f t="shared" si="0"/>
        <v>0</v>
      </c>
      <c r="H6" s="51">
        <v>103644678.59999999</v>
      </c>
      <c r="I6" s="52">
        <v>65745690.920000002</v>
      </c>
      <c r="J6" s="61">
        <f>IF(I6&lt;0,1,0)+IF(H6&lt;0,1,0)</f>
        <v>0</v>
      </c>
      <c r="K6" s="49">
        <f>SUM(I6/2)</f>
        <v>32872845.460000001</v>
      </c>
      <c r="L6" s="45">
        <f>+H6/K6</f>
        <v>3.1528964757892908</v>
      </c>
      <c r="M6" s="43">
        <f>IF(AND(I6&lt;0,H6&lt;0),2,IF(AND(I6&gt;0,H6&gt;0),0,IF(AND(H6&lt;0,I6&gt;0),IF(ABS((H6/(I6/2)))&lt;3,0,IF(ABS((H6/(I6/2)))&gt;6,2,1)),IF(AND(H6&gt;0,I6&lt;0),IF(ABS((H6/(I6/2)))&lt;3,2,IF(ABS((H6/(I6/2)))&gt;6,0,1))))))</f>
        <v>0</v>
      </c>
      <c r="N6" s="46">
        <f>SUM(G6+J6+M6)</f>
        <v>0</v>
      </c>
      <c r="O6" s="46">
        <f>'ต.ค.64'!N6</f>
        <v>1</v>
      </c>
      <c r="P6" s="69">
        <v>73848272.640000001</v>
      </c>
      <c r="Q6" s="62">
        <v>-31287834.82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>
        <v>3.39</v>
      </c>
      <c r="E7" s="47">
        <v>3.22</v>
      </c>
      <c r="F7" s="54">
        <v>1.2</v>
      </c>
      <c r="G7" s="47">
        <f t="shared" si="0"/>
        <v>0</v>
      </c>
      <c r="H7" s="51">
        <v>68922600.900000006</v>
      </c>
      <c r="I7" s="52">
        <v>17625872.800000001</v>
      </c>
      <c r="J7" s="47">
        <f t="shared" si="1"/>
        <v>0</v>
      </c>
      <c r="K7" s="49">
        <f t="shared" si="2"/>
        <v>8812936.4000000004</v>
      </c>
      <c r="L7" s="45">
        <f t="shared" ref="L7:L20" si="4">+H7/K7</f>
        <v>7.8206170760519731</v>
      </c>
      <c r="M7" s="43">
        <f t="shared" ref="M7:M20" si="5">IF(AND(I7&lt;0,H7&lt;0),2,IF(AND(I7&gt;0,H7&gt;0),0,IF(AND(H7&lt;0,I7&gt;0),IF(ABS((H7/(I7/2)))&lt;3,0,IF(ABS((H7/(I7/2)))&gt;6,2,1)),IF(AND(H7&gt;0,I7&lt;0),IF(ABS((H7/(I7/2)))&lt;3,2,IF(ABS((H7/(I7/2)))&gt;6,0,1))))))</f>
        <v>0</v>
      </c>
      <c r="N7" s="46">
        <f t="shared" si="3"/>
        <v>0</v>
      </c>
      <c r="O7" s="46">
        <f>'ต.ค.64'!N7</f>
        <v>0</v>
      </c>
      <c r="P7" s="69">
        <v>18166780.420000002</v>
      </c>
      <c r="Q7" s="51">
        <v>5891547.3099999996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>
        <v>4.78</v>
      </c>
      <c r="E8" s="47">
        <v>4.49</v>
      </c>
      <c r="F8" s="47">
        <v>2.84</v>
      </c>
      <c r="G8" s="61">
        <f t="shared" si="0"/>
        <v>0</v>
      </c>
      <c r="H8" s="51">
        <v>57497217.509999998</v>
      </c>
      <c r="I8" s="52">
        <v>15949666.91</v>
      </c>
      <c r="J8" s="61">
        <f t="shared" si="1"/>
        <v>0</v>
      </c>
      <c r="K8" s="49">
        <f t="shared" si="2"/>
        <v>7974833.4550000001</v>
      </c>
      <c r="L8" s="45">
        <f t="shared" si="4"/>
        <v>7.209833012117743</v>
      </c>
      <c r="M8" s="43">
        <f t="shared" si="5"/>
        <v>0</v>
      </c>
      <c r="N8" s="46">
        <f t="shared" si="3"/>
        <v>0</v>
      </c>
      <c r="O8" s="46">
        <f>'ต.ค.64'!N8</f>
        <v>0</v>
      </c>
      <c r="P8" s="69">
        <v>17294552.350000001</v>
      </c>
      <c r="Q8" s="51">
        <v>28022399.210000001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>
        <v>4.32</v>
      </c>
      <c r="E9" s="47">
        <v>4.05</v>
      </c>
      <c r="F9" s="47">
        <v>1.95</v>
      </c>
      <c r="G9" s="47">
        <f t="shared" si="0"/>
        <v>0</v>
      </c>
      <c r="H9" s="51">
        <v>55977506.170000002</v>
      </c>
      <c r="I9" s="52">
        <v>12224261.439999999</v>
      </c>
      <c r="J9" s="47">
        <f t="shared" si="1"/>
        <v>0</v>
      </c>
      <c r="K9" s="49">
        <f t="shared" si="2"/>
        <v>6112130.7199999997</v>
      </c>
      <c r="L9" s="45">
        <f t="shared" si="4"/>
        <v>9.1584275164193478</v>
      </c>
      <c r="M9" s="43">
        <f t="shared" si="5"/>
        <v>0</v>
      </c>
      <c r="N9" s="46">
        <f t="shared" si="3"/>
        <v>0</v>
      </c>
      <c r="O9" s="46">
        <f>'ต.ค.64'!N9</f>
        <v>0</v>
      </c>
      <c r="P9" s="69">
        <v>9838550.0600000005</v>
      </c>
      <c r="Q9" s="51">
        <v>16054361.66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>
        <v>1.88</v>
      </c>
      <c r="E10" s="47">
        <v>1.77</v>
      </c>
      <c r="F10" s="47">
        <v>1.17</v>
      </c>
      <c r="G10" s="47">
        <f t="shared" si="0"/>
        <v>0</v>
      </c>
      <c r="H10" s="51">
        <v>19140140.5</v>
      </c>
      <c r="I10" s="52">
        <v>7209947.0099999998</v>
      </c>
      <c r="J10" s="47">
        <f t="shared" si="1"/>
        <v>0</v>
      </c>
      <c r="K10" s="49">
        <f t="shared" si="2"/>
        <v>3604973.5049999999</v>
      </c>
      <c r="L10" s="45">
        <f t="shared" si="4"/>
        <v>5.3093706440430557</v>
      </c>
      <c r="M10" s="43">
        <f t="shared" si="5"/>
        <v>0</v>
      </c>
      <c r="N10" s="46">
        <f t="shared" si="3"/>
        <v>0</v>
      </c>
      <c r="O10" s="46">
        <f>'ต.ค.64'!N10</f>
        <v>0</v>
      </c>
      <c r="P10" s="69">
        <v>7833978.2300000004</v>
      </c>
      <c r="Q10" s="51">
        <v>3085170.27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>
        <v>3.66</v>
      </c>
      <c r="E11" s="47">
        <v>3.47</v>
      </c>
      <c r="F11" s="47">
        <v>1.75</v>
      </c>
      <c r="G11" s="47">
        <f t="shared" si="0"/>
        <v>0</v>
      </c>
      <c r="H11" s="51">
        <v>143748784.38999999</v>
      </c>
      <c r="I11" s="52">
        <v>33026930.91</v>
      </c>
      <c r="J11" s="47">
        <f t="shared" si="1"/>
        <v>0</v>
      </c>
      <c r="K11" s="49">
        <f t="shared" si="2"/>
        <v>16513465.455</v>
      </c>
      <c r="L11" s="45">
        <f t="shared" si="4"/>
        <v>8.7049435372437394</v>
      </c>
      <c r="M11" s="43">
        <f t="shared" si="5"/>
        <v>0</v>
      </c>
      <c r="N11" s="46">
        <f t="shared" si="3"/>
        <v>0</v>
      </c>
      <c r="O11" s="46">
        <f>'ต.ค.64'!N11</f>
        <v>0</v>
      </c>
      <c r="P11" s="69">
        <v>34295881.990000002</v>
      </c>
      <c r="Q11" s="51">
        <v>40155585.149999999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>
        <v>2.0699999999999998</v>
      </c>
      <c r="E12" s="47">
        <v>1.88</v>
      </c>
      <c r="F12" s="54">
        <v>1.1000000000000001</v>
      </c>
      <c r="G12" s="47">
        <f t="shared" si="0"/>
        <v>0</v>
      </c>
      <c r="H12" s="51">
        <v>27749632.57</v>
      </c>
      <c r="I12" s="52">
        <v>13951777.91</v>
      </c>
      <c r="J12" s="47">
        <f t="shared" si="1"/>
        <v>0</v>
      </c>
      <c r="K12" s="49">
        <f t="shared" si="2"/>
        <v>6975888.9550000001</v>
      </c>
      <c r="L12" s="45">
        <f t="shared" si="4"/>
        <v>3.9779349626989582</v>
      </c>
      <c r="M12" s="43">
        <f t="shared" si="5"/>
        <v>0</v>
      </c>
      <c r="N12" s="46">
        <f t="shared" si="3"/>
        <v>0</v>
      </c>
      <c r="O12" s="46">
        <f>'ต.ค.64'!N12</f>
        <v>0</v>
      </c>
      <c r="P12" s="69">
        <v>14670745.189999999</v>
      </c>
      <c r="Q12" s="51">
        <v>2698476.98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>
        <v>4.29</v>
      </c>
      <c r="E13" s="47">
        <v>4.21</v>
      </c>
      <c r="F13" s="47">
        <v>1.51</v>
      </c>
      <c r="G13" s="47">
        <f t="shared" si="0"/>
        <v>0</v>
      </c>
      <c r="H13" s="51">
        <v>89662899.030000001</v>
      </c>
      <c r="I13" s="52">
        <v>25300246.460000001</v>
      </c>
      <c r="J13" s="47">
        <f t="shared" si="1"/>
        <v>0</v>
      </c>
      <c r="K13" s="49">
        <f t="shared" si="2"/>
        <v>12650123.23</v>
      </c>
      <c r="L13" s="45">
        <f t="shared" si="4"/>
        <v>7.0879071610435211</v>
      </c>
      <c r="M13" s="43">
        <f t="shared" si="5"/>
        <v>0</v>
      </c>
      <c r="N13" s="46">
        <f t="shared" si="3"/>
        <v>0</v>
      </c>
      <c r="O13" s="46">
        <f>'ต.ค.64'!N13</f>
        <v>0</v>
      </c>
      <c r="P13" s="69">
        <v>26314814.129999999</v>
      </c>
      <c r="Q13" s="51">
        <v>13899304.25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>
        <v>3.56</v>
      </c>
      <c r="E14" s="47">
        <v>3.42</v>
      </c>
      <c r="F14" s="47">
        <v>1.67</v>
      </c>
      <c r="G14" s="47">
        <f t="shared" si="0"/>
        <v>0</v>
      </c>
      <c r="H14" s="51">
        <v>46836610.359999999</v>
      </c>
      <c r="I14" s="52">
        <v>22768814.960000001</v>
      </c>
      <c r="J14" s="47">
        <f t="shared" si="1"/>
        <v>0</v>
      </c>
      <c r="K14" s="49">
        <f t="shared" si="2"/>
        <v>11384407.48</v>
      </c>
      <c r="L14" s="45">
        <f t="shared" si="4"/>
        <v>4.1141017169564629</v>
      </c>
      <c r="M14" s="43">
        <f t="shared" si="5"/>
        <v>0</v>
      </c>
      <c r="N14" s="46">
        <f t="shared" si="3"/>
        <v>0</v>
      </c>
      <c r="O14" s="46">
        <f>'ต.ค.64'!N14</f>
        <v>0</v>
      </c>
      <c r="P14" s="69">
        <v>24093359.579999998</v>
      </c>
      <c r="Q14" s="51">
        <v>12227074.609999999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>
        <v>5.83</v>
      </c>
      <c r="E15" s="47">
        <v>5.51</v>
      </c>
      <c r="F15" s="47">
        <v>2.84</v>
      </c>
      <c r="G15" s="47">
        <f t="shared" si="0"/>
        <v>0</v>
      </c>
      <c r="H15" s="51">
        <v>55207765.109999999</v>
      </c>
      <c r="I15" s="52">
        <v>18973169.949999999</v>
      </c>
      <c r="J15" s="47">
        <f t="shared" si="1"/>
        <v>0</v>
      </c>
      <c r="K15" s="49">
        <f t="shared" si="2"/>
        <v>9486584.9749999996</v>
      </c>
      <c r="L15" s="45">
        <f t="shared" si="4"/>
        <v>5.8195615445904973</v>
      </c>
      <c r="M15" s="43">
        <f t="shared" si="5"/>
        <v>0</v>
      </c>
      <c r="N15" s="46">
        <f t="shared" si="3"/>
        <v>0</v>
      </c>
      <c r="O15" s="46">
        <f>'ต.ค.64'!N15</f>
        <v>0</v>
      </c>
      <c r="P15" s="69">
        <v>20058556.609999999</v>
      </c>
      <c r="Q15" s="51">
        <v>20976565.539999999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>
        <v>8.64</v>
      </c>
      <c r="E16" s="47">
        <v>8.26</v>
      </c>
      <c r="F16" s="47">
        <v>3.24</v>
      </c>
      <c r="G16" s="47">
        <f t="shared" si="0"/>
        <v>0</v>
      </c>
      <c r="H16" s="51">
        <v>183406759.16</v>
      </c>
      <c r="I16" s="52">
        <v>36328402.219999999</v>
      </c>
      <c r="J16" s="47">
        <f t="shared" si="1"/>
        <v>0</v>
      </c>
      <c r="K16" s="49">
        <f t="shared" si="2"/>
        <v>18164201.109999999</v>
      </c>
      <c r="L16" s="45">
        <f t="shared" si="4"/>
        <v>10.0971552808358</v>
      </c>
      <c r="M16" s="43">
        <f t="shared" si="5"/>
        <v>0</v>
      </c>
      <c r="N16" s="46">
        <f t="shared" si="3"/>
        <v>0</v>
      </c>
      <c r="O16" s="46">
        <f>'ต.ค.64'!N16</f>
        <v>0</v>
      </c>
      <c r="P16" s="69">
        <v>26391176.440000001</v>
      </c>
      <c r="Q16" s="51">
        <v>53763789.880000003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>
        <v>3.37</v>
      </c>
      <c r="E17" s="47">
        <v>3.21</v>
      </c>
      <c r="F17" s="47">
        <v>2.11</v>
      </c>
      <c r="G17" s="47">
        <f t="shared" si="0"/>
        <v>0</v>
      </c>
      <c r="H17" s="51">
        <v>17232102.170000002</v>
      </c>
      <c r="I17" s="52">
        <v>5833445.0999999996</v>
      </c>
      <c r="J17" s="47">
        <f t="shared" si="1"/>
        <v>0</v>
      </c>
      <c r="K17" s="49">
        <f t="shared" si="2"/>
        <v>2916722.55</v>
      </c>
      <c r="L17" s="45">
        <f t="shared" si="4"/>
        <v>5.9080361174565619</v>
      </c>
      <c r="M17" s="43">
        <f t="shared" si="5"/>
        <v>0</v>
      </c>
      <c r="N17" s="46">
        <f t="shared" si="3"/>
        <v>0</v>
      </c>
      <c r="O17" s="46">
        <f>'ต.ค.64'!N17</f>
        <v>0</v>
      </c>
      <c r="P17" s="69">
        <v>6337307.1500000004</v>
      </c>
      <c r="Q17" s="51">
        <v>8067529.0199999996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>
        <v>7.83</v>
      </c>
      <c r="E18" s="47">
        <v>7.72</v>
      </c>
      <c r="F18" s="47">
        <v>3.68</v>
      </c>
      <c r="G18" s="47">
        <f t="shared" si="0"/>
        <v>0</v>
      </c>
      <c r="H18" s="51">
        <v>185305180.69999999</v>
      </c>
      <c r="I18" s="52">
        <v>224716.71</v>
      </c>
      <c r="J18" s="47">
        <f t="shared" si="1"/>
        <v>0</v>
      </c>
      <c r="K18" s="49">
        <f t="shared" si="2"/>
        <v>112358.355</v>
      </c>
      <c r="L18" s="45">
        <f t="shared" si="4"/>
        <v>1649.2336569007261</v>
      </c>
      <c r="M18" s="47">
        <f t="shared" si="5"/>
        <v>0</v>
      </c>
      <c r="N18" s="46">
        <f t="shared" si="3"/>
        <v>0</v>
      </c>
      <c r="O18" s="46">
        <f>'ต.ค.64'!N18</f>
        <v>1</v>
      </c>
      <c r="P18" s="69">
        <v>3283569.39</v>
      </c>
      <c r="Q18" s="51">
        <v>72723938.239999995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>
        <v>4.26</v>
      </c>
      <c r="E19" s="47">
        <v>4.01</v>
      </c>
      <c r="F19" s="47">
        <v>0.82</v>
      </c>
      <c r="G19" s="47">
        <f t="shared" si="0"/>
        <v>0</v>
      </c>
      <c r="H19" s="51">
        <v>43639614.649999999</v>
      </c>
      <c r="I19" s="52">
        <v>11714329.119999999</v>
      </c>
      <c r="J19" s="47">
        <f t="shared" si="1"/>
        <v>0</v>
      </c>
      <c r="K19" s="49">
        <f t="shared" si="2"/>
        <v>5857164.5599999996</v>
      </c>
      <c r="L19" s="45">
        <f t="shared" si="4"/>
        <v>7.4506383085128824</v>
      </c>
      <c r="M19" s="47">
        <f t="shared" si="5"/>
        <v>0</v>
      </c>
      <c r="N19" s="46">
        <f t="shared" si="3"/>
        <v>0</v>
      </c>
      <c r="O19" s="46">
        <f>'ต.ค.64'!N19</f>
        <v>1</v>
      </c>
      <c r="P19" s="69">
        <v>12473529.960000001</v>
      </c>
      <c r="Q19" s="62">
        <v>-2391556.7000000002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>
        <v>2.89</v>
      </c>
      <c r="E20" s="47">
        <v>2.64</v>
      </c>
      <c r="F20" s="47">
        <v>1.73</v>
      </c>
      <c r="G20" s="47">
        <f t="shared" si="0"/>
        <v>0</v>
      </c>
      <c r="H20" s="51">
        <v>14985844.76</v>
      </c>
      <c r="I20" s="52">
        <v>2604377.75</v>
      </c>
      <c r="J20" s="47">
        <f t="shared" si="1"/>
        <v>0</v>
      </c>
      <c r="K20" s="49">
        <f t="shared" si="2"/>
        <v>1302188.875</v>
      </c>
      <c r="L20" s="45">
        <f t="shared" si="4"/>
        <v>11.508195967347671</v>
      </c>
      <c r="M20" s="43">
        <f t="shared" si="5"/>
        <v>0</v>
      </c>
      <c r="N20" s="46">
        <f t="shared" si="3"/>
        <v>0</v>
      </c>
      <c r="O20" s="46">
        <f>'ต.ค.64'!N20</f>
        <v>0</v>
      </c>
      <c r="P20" s="69">
        <v>3361224.97</v>
      </c>
      <c r="Q20" s="51">
        <v>5773876.3799999999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50"/>
      <c r="N27" s="50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G6" sqref="G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7" width="21.6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1" t="s">
        <v>63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63" t="s">
        <v>53</v>
      </c>
      <c r="P1" s="64">
        <v>242903</v>
      </c>
      <c r="Q1" s="41"/>
    </row>
    <row r="2" spans="1:25" ht="54.75" customHeight="1" thickBot="1" x14ac:dyDescent="0.3">
      <c r="C2" s="108" t="s">
        <v>41</v>
      </c>
      <c r="D2" s="112" t="s">
        <v>40</v>
      </c>
      <c r="E2" s="112"/>
      <c r="F2" s="112"/>
      <c r="G2" s="112"/>
      <c r="H2" s="113" t="s">
        <v>39</v>
      </c>
      <c r="I2" s="113"/>
      <c r="J2" s="113"/>
      <c r="K2" s="114" t="s">
        <v>38</v>
      </c>
      <c r="L2" s="114"/>
      <c r="M2" s="114"/>
      <c r="N2" s="115" t="s">
        <v>64</v>
      </c>
      <c r="O2" s="117" t="s">
        <v>65</v>
      </c>
      <c r="P2" s="118" t="s">
        <v>56</v>
      </c>
      <c r="Q2" s="118" t="s">
        <v>37</v>
      </c>
    </row>
    <row r="3" spans="1:25" ht="38.25" customHeight="1" thickBot="1" x14ac:dyDescent="0.3">
      <c r="C3" s="108"/>
      <c r="D3" s="105" t="s">
        <v>36</v>
      </c>
      <c r="E3" s="105" t="s">
        <v>35</v>
      </c>
      <c r="F3" s="105" t="s">
        <v>34</v>
      </c>
      <c r="G3" s="106" t="s">
        <v>29</v>
      </c>
      <c r="H3" s="107" t="s">
        <v>33</v>
      </c>
      <c r="I3" s="108" t="s">
        <v>32</v>
      </c>
      <c r="J3" s="109" t="s">
        <v>29</v>
      </c>
      <c r="K3" s="110" t="s">
        <v>31</v>
      </c>
      <c r="L3" s="108" t="s">
        <v>30</v>
      </c>
      <c r="M3" s="116" t="s">
        <v>29</v>
      </c>
      <c r="N3" s="115"/>
      <c r="O3" s="117"/>
      <c r="P3" s="118"/>
      <c r="Q3" s="118"/>
    </row>
    <row r="4" spans="1:25" ht="36.75" customHeight="1" thickBot="1" x14ac:dyDescent="0.3">
      <c r="C4" s="122"/>
      <c r="D4" s="126"/>
      <c r="E4" s="126"/>
      <c r="F4" s="126"/>
      <c r="G4" s="127"/>
      <c r="H4" s="128"/>
      <c r="I4" s="122"/>
      <c r="J4" s="129"/>
      <c r="K4" s="130"/>
      <c r="L4" s="122"/>
      <c r="M4" s="124"/>
      <c r="N4" s="123"/>
      <c r="O4" s="119"/>
      <c r="P4" s="125"/>
      <c r="Q4" s="125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>
        <v>2.25</v>
      </c>
      <c r="E5" s="47">
        <v>2.0699999999999998</v>
      </c>
      <c r="F5" s="42">
        <v>0.68</v>
      </c>
      <c r="G5" s="42">
        <f t="shared" ref="G5:G20" si="0">(IF(D5&lt;1.5,1,0))+(IF(E5&lt;1,1,0))+(IF(F5&lt;0.8,1,0))</f>
        <v>1</v>
      </c>
      <c r="H5" s="51">
        <v>486870426.14999998</v>
      </c>
      <c r="I5" s="51">
        <v>134293390.52000001</v>
      </c>
      <c r="J5" s="47">
        <f t="shared" ref="J5:J20" si="1">IF(I5&lt;0,1,0)+IF(H5&lt;0,1,0)</f>
        <v>0</v>
      </c>
      <c r="K5" s="49">
        <f t="shared" ref="K5:K17" si="2">SUM(I5/3)</f>
        <v>44764463.506666668</v>
      </c>
      <c r="L5" s="45">
        <f>+H5/K5</f>
        <v>10.876270773969882</v>
      </c>
      <c r="M5" s="43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46">
        <f t="shared" ref="N5:N20" si="3">SUM(G5+J5+M5)</f>
        <v>1</v>
      </c>
      <c r="O5" s="46">
        <f>'พ.ย.64'!N5</f>
        <v>1</v>
      </c>
      <c r="P5" s="69">
        <v>144957361.97999999</v>
      </c>
      <c r="Q5" s="62">
        <v>-124385313.06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7">
        <v>1.81</v>
      </c>
      <c r="E6" s="47">
        <v>1.73</v>
      </c>
      <c r="F6" s="47">
        <v>0.87</v>
      </c>
      <c r="G6" s="61">
        <f t="shared" si="0"/>
        <v>0</v>
      </c>
      <c r="H6" s="51">
        <v>121596833.68000001</v>
      </c>
      <c r="I6" s="52">
        <v>84422181.920000002</v>
      </c>
      <c r="J6" s="61">
        <f>IF(I6&lt;0,1,0)+IF(H6&lt;0,1,0)</f>
        <v>0</v>
      </c>
      <c r="K6" s="49">
        <f t="shared" si="2"/>
        <v>28140727.306666669</v>
      </c>
      <c r="L6" s="45">
        <f>+H6/K6</f>
        <v>4.3210266868686498</v>
      </c>
      <c r="M6" s="43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46">
        <f>SUM(G6+J6+M6)</f>
        <v>0</v>
      </c>
      <c r="O6" s="46">
        <f>'พ.ย.64'!N6</f>
        <v>0</v>
      </c>
      <c r="P6" s="69">
        <v>92072951.730000004</v>
      </c>
      <c r="Q6" s="62">
        <v>-19194134.98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>
        <v>2.89</v>
      </c>
      <c r="E7" s="47">
        <v>2.69</v>
      </c>
      <c r="F7" s="47">
        <v>1.59</v>
      </c>
      <c r="G7" s="47">
        <f t="shared" si="0"/>
        <v>0</v>
      </c>
      <c r="H7" s="51">
        <v>54883814.25</v>
      </c>
      <c r="I7" s="52">
        <v>18919166.239999998</v>
      </c>
      <c r="J7" s="47">
        <f t="shared" si="1"/>
        <v>0</v>
      </c>
      <c r="K7" s="49">
        <f t="shared" si="2"/>
        <v>6306388.7466666661</v>
      </c>
      <c r="L7" s="45">
        <f t="shared" ref="L7:L20" si="5">+H7/K7</f>
        <v>8.7028910609117851</v>
      </c>
      <c r="M7" s="43">
        <f t="shared" si="4"/>
        <v>0</v>
      </c>
      <c r="N7" s="46">
        <f t="shared" si="3"/>
        <v>0</v>
      </c>
      <c r="O7" s="46">
        <f>'พ.ย.64'!N7</f>
        <v>0</v>
      </c>
      <c r="P7" s="69">
        <v>16328413.1</v>
      </c>
      <c r="Q7" s="51">
        <v>17216746.300000001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>
        <v>6.43</v>
      </c>
      <c r="E8" s="54">
        <v>6.1</v>
      </c>
      <c r="F8" s="47">
        <v>4.1100000000000003</v>
      </c>
      <c r="G8" s="61">
        <f t="shared" si="0"/>
        <v>0</v>
      </c>
      <c r="H8" s="51">
        <v>72588323.790000007</v>
      </c>
      <c r="I8" s="52">
        <v>19294590.27</v>
      </c>
      <c r="J8" s="61">
        <f t="shared" si="1"/>
        <v>0</v>
      </c>
      <c r="K8" s="49">
        <f t="shared" si="2"/>
        <v>6431530.0899999999</v>
      </c>
      <c r="L8" s="45">
        <f t="shared" si="5"/>
        <v>11.286322659496413</v>
      </c>
      <c r="M8" s="43">
        <f t="shared" si="4"/>
        <v>0</v>
      </c>
      <c r="N8" s="46">
        <f t="shared" si="3"/>
        <v>0</v>
      </c>
      <c r="O8" s="46">
        <f>'พ.ย.64'!N8</f>
        <v>0</v>
      </c>
      <c r="P8" s="69">
        <v>18792317.100000001</v>
      </c>
      <c r="Q8" s="51">
        <v>41507532.729999997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>
        <v>5.01</v>
      </c>
      <c r="E9" s="54">
        <v>4.7</v>
      </c>
      <c r="F9" s="47">
        <v>2.25</v>
      </c>
      <c r="G9" s="47">
        <f t="shared" si="0"/>
        <v>0</v>
      </c>
      <c r="H9" s="51">
        <v>57791410.780000001</v>
      </c>
      <c r="I9" s="52">
        <v>13435511.640000001</v>
      </c>
      <c r="J9" s="47">
        <f t="shared" si="1"/>
        <v>0</v>
      </c>
      <c r="K9" s="49">
        <f t="shared" si="2"/>
        <v>4478503.88</v>
      </c>
      <c r="L9" s="45">
        <f t="shared" si="5"/>
        <v>12.904177897016805</v>
      </c>
      <c r="M9" s="43">
        <f t="shared" si="4"/>
        <v>0</v>
      </c>
      <c r="N9" s="46">
        <f t="shared" si="3"/>
        <v>0</v>
      </c>
      <c r="O9" s="46">
        <f>'พ.ย.64'!N9</f>
        <v>0</v>
      </c>
      <c r="P9" s="69">
        <v>11564103.6</v>
      </c>
      <c r="Q9" s="51">
        <v>18059706.129999999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>
        <v>1.74</v>
      </c>
      <c r="E10" s="47">
        <v>1.63</v>
      </c>
      <c r="F10" s="54">
        <v>1.1000000000000001</v>
      </c>
      <c r="G10" s="47">
        <f t="shared" si="0"/>
        <v>0</v>
      </c>
      <c r="H10" s="51">
        <v>17048180.170000002</v>
      </c>
      <c r="I10" s="52">
        <v>4881483.9000000004</v>
      </c>
      <c r="J10" s="47">
        <f t="shared" si="1"/>
        <v>0</v>
      </c>
      <c r="K10" s="49">
        <f t="shared" si="2"/>
        <v>1627161.3</v>
      </c>
      <c r="L10" s="45">
        <f t="shared" si="5"/>
        <v>10.477252728417275</v>
      </c>
      <c r="M10" s="43">
        <f t="shared" si="4"/>
        <v>0</v>
      </c>
      <c r="N10" s="46">
        <f t="shared" si="3"/>
        <v>0</v>
      </c>
      <c r="O10" s="46">
        <f>'พ.ย.64'!N10</f>
        <v>0</v>
      </c>
      <c r="P10" s="69">
        <v>5340706.8</v>
      </c>
      <c r="Q10" s="51">
        <v>1748776.68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>
        <v>3.45</v>
      </c>
      <c r="E11" s="47">
        <v>3.26</v>
      </c>
      <c r="F11" s="47">
        <v>2.5299999999999998</v>
      </c>
      <c r="G11" s="47">
        <f t="shared" si="0"/>
        <v>0</v>
      </c>
      <c r="H11" s="51">
        <v>142139740.50999999</v>
      </c>
      <c r="I11" s="52">
        <v>34948033.530000001</v>
      </c>
      <c r="J11" s="47">
        <f t="shared" si="1"/>
        <v>0</v>
      </c>
      <c r="K11" s="49">
        <f t="shared" si="2"/>
        <v>11649344.51</v>
      </c>
      <c r="L11" s="45">
        <f t="shared" si="5"/>
        <v>12.201522616829193</v>
      </c>
      <c r="M11" s="43">
        <f t="shared" si="4"/>
        <v>0</v>
      </c>
      <c r="N11" s="46">
        <f t="shared" si="3"/>
        <v>0</v>
      </c>
      <c r="O11" s="46">
        <f>'พ.ย.64'!N11</f>
        <v>0</v>
      </c>
      <c r="P11" s="69">
        <v>33509730.149999999</v>
      </c>
      <c r="Q11" s="51">
        <v>88415133.900000006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>
        <v>2.14</v>
      </c>
      <c r="E12" s="47">
        <v>1.95</v>
      </c>
      <c r="F12" s="47">
        <v>1.0900000000000001</v>
      </c>
      <c r="G12" s="47">
        <f t="shared" si="0"/>
        <v>0</v>
      </c>
      <c r="H12" s="51">
        <v>29732220.039999999</v>
      </c>
      <c r="I12" s="52">
        <v>13661515.74</v>
      </c>
      <c r="J12" s="47">
        <f t="shared" si="1"/>
        <v>0</v>
      </c>
      <c r="K12" s="49">
        <f t="shared" si="2"/>
        <v>4553838.58</v>
      </c>
      <c r="L12" s="45">
        <f t="shared" si="5"/>
        <v>6.529045665031016</v>
      </c>
      <c r="M12" s="43">
        <f t="shared" si="4"/>
        <v>0</v>
      </c>
      <c r="N12" s="46">
        <f t="shared" si="3"/>
        <v>0</v>
      </c>
      <c r="O12" s="46">
        <f>'พ.ย.64'!N12</f>
        <v>0</v>
      </c>
      <c r="P12" s="69">
        <v>13711658.939999999</v>
      </c>
      <c r="Q12" s="51">
        <v>2398311.5699999998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>
        <v>4.53</v>
      </c>
      <c r="E13" s="47">
        <v>4.45</v>
      </c>
      <c r="F13" s="47">
        <v>1.77</v>
      </c>
      <c r="G13" s="47">
        <f t="shared" si="0"/>
        <v>0</v>
      </c>
      <c r="H13" s="51">
        <v>93911753.510000005</v>
      </c>
      <c r="I13" s="52">
        <v>30151707.190000001</v>
      </c>
      <c r="J13" s="47">
        <f t="shared" si="1"/>
        <v>0</v>
      </c>
      <c r="K13" s="49">
        <f t="shared" si="2"/>
        <v>10050569.063333334</v>
      </c>
      <c r="L13" s="45">
        <f t="shared" si="5"/>
        <v>9.3439240025334023</v>
      </c>
      <c r="M13" s="43">
        <f t="shared" si="4"/>
        <v>0</v>
      </c>
      <c r="N13" s="46">
        <f t="shared" si="3"/>
        <v>0</v>
      </c>
      <c r="O13" s="46">
        <f>'พ.ย.64'!N13</f>
        <v>0</v>
      </c>
      <c r="P13" s="69">
        <v>30512622.690000001</v>
      </c>
      <c r="Q13" s="51">
        <v>20391538.75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>
        <v>4.04</v>
      </c>
      <c r="E14" s="47">
        <v>3.88</v>
      </c>
      <c r="F14" s="47">
        <v>1.79</v>
      </c>
      <c r="G14" s="47">
        <f t="shared" si="0"/>
        <v>0</v>
      </c>
      <c r="H14" s="51">
        <v>59915388.009999998</v>
      </c>
      <c r="I14" s="52">
        <v>30585434.359999999</v>
      </c>
      <c r="J14" s="47">
        <f t="shared" si="1"/>
        <v>0</v>
      </c>
      <c r="K14" s="49">
        <f t="shared" si="2"/>
        <v>10195144.786666667</v>
      </c>
      <c r="L14" s="45">
        <f t="shared" si="5"/>
        <v>5.8768550387198095</v>
      </c>
      <c r="M14" s="43">
        <f t="shared" si="4"/>
        <v>0</v>
      </c>
      <c r="N14" s="46">
        <f t="shared" si="3"/>
        <v>0</v>
      </c>
      <c r="O14" s="46">
        <f>'พ.ย.64'!N14</f>
        <v>0</v>
      </c>
      <c r="P14" s="69">
        <v>31682936.379999999</v>
      </c>
      <c r="Q14" s="51">
        <v>15565119.060000001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>
        <v>5.63</v>
      </c>
      <c r="E15" s="47">
        <v>5.23</v>
      </c>
      <c r="F15" s="47">
        <v>2.98</v>
      </c>
      <c r="G15" s="47">
        <f t="shared" si="0"/>
        <v>0</v>
      </c>
      <c r="H15" s="51">
        <v>52188385.920000002</v>
      </c>
      <c r="I15" s="52">
        <v>13212969.810000001</v>
      </c>
      <c r="J15" s="47">
        <f t="shared" si="1"/>
        <v>0</v>
      </c>
      <c r="K15" s="49">
        <f t="shared" si="2"/>
        <v>4404323.2700000005</v>
      </c>
      <c r="L15" s="45">
        <f t="shared" si="5"/>
        <v>11.849354082494493</v>
      </c>
      <c r="M15" s="43">
        <f t="shared" si="4"/>
        <v>0</v>
      </c>
      <c r="N15" s="46">
        <f t="shared" si="3"/>
        <v>0</v>
      </c>
      <c r="O15" s="46">
        <f>'พ.ย.64'!N15</f>
        <v>0</v>
      </c>
      <c r="P15" s="69">
        <v>14175251.77</v>
      </c>
      <c r="Q15" s="51">
        <v>22299911.390000001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>
        <v>9.5399999999999991</v>
      </c>
      <c r="E16" s="47">
        <v>9.08</v>
      </c>
      <c r="F16" s="47">
        <v>4.49</v>
      </c>
      <c r="G16" s="47">
        <f t="shared" si="0"/>
        <v>0</v>
      </c>
      <c r="H16" s="51">
        <v>172463801.93000001</v>
      </c>
      <c r="I16" s="52">
        <v>33693107.579999998</v>
      </c>
      <c r="J16" s="47">
        <f t="shared" si="1"/>
        <v>0</v>
      </c>
      <c r="K16" s="49">
        <f t="shared" si="2"/>
        <v>11231035.859999999</v>
      </c>
      <c r="L16" s="45">
        <f t="shared" si="5"/>
        <v>15.356001359076776</v>
      </c>
      <c r="M16" s="43">
        <f t="shared" si="4"/>
        <v>0</v>
      </c>
      <c r="N16" s="46">
        <f t="shared" si="3"/>
        <v>0</v>
      </c>
      <c r="O16" s="46">
        <f>'พ.ย.64'!N16</f>
        <v>0</v>
      </c>
      <c r="P16" s="69">
        <v>20596485.809999999</v>
      </c>
      <c r="Q16" s="51">
        <v>70497183.719999999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54">
        <v>3.1</v>
      </c>
      <c r="E17" s="47">
        <v>2.96</v>
      </c>
      <c r="F17" s="47">
        <v>1.94</v>
      </c>
      <c r="G17" s="47">
        <f t="shared" si="0"/>
        <v>0</v>
      </c>
      <c r="H17" s="51">
        <v>16114483.82</v>
      </c>
      <c r="I17" s="52">
        <v>5728117.9199999999</v>
      </c>
      <c r="J17" s="47">
        <f t="shared" si="1"/>
        <v>0</v>
      </c>
      <c r="K17" s="49">
        <f t="shared" si="2"/>
        <v>1909372.64</v>
      </c>
      <c r="L17" s="45">
        <f t="shared" si="5"/>
        <v>8.439674625273776</v>
      </c>
      <c r="M17" s="43">
        <f t="shared" si="4"/>
        <v>0</v>
      </c>
      <c r="N17" s="46">
        <f t="shared" si="3"/>
        <v>0</v>
      </c>
      <c r="O17" s="46">
        <f>'พ.ย.64'!N17</f>
        <v>0</v>
      </c>
      <c r="P17" s="69">
        <v>6103786.1900000004</v>
      </c>
      <c r="Q17" s="51">
        <v>7230912.5499999998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54">
        <v>8.1999999999999993</v>
      </c>
      <c r="E18" s="47">
        <v>8.08</v>
      </c>
      <c r="F18" s="47">
        <v>4.78</v>
      </c>
      <c r="G18" s="47">
        <f t="shared" si="0"/>
        <v>0</v>
      </c>
      <c r="H18" s="51">
        <v>177404398.06</v>
      </c>
      <c r="I18" s="52">
        <v>1752343.95</v>
      </c>
      <c r="J18" s="47">
        <f t="shared" si="1"/>
        <v>0</v>
      </c>
      <c r="K18" s="49">
        <f>SUM(I18/3)</f>
        <v>584114.65</v>
      </c>
      <c r="L18" s="45">
        <f t="shared" si="5"/>
        <v>303.7150293354224</v>
      </c>
      <c r="M18" s="43">
        <f t="shared" si="4"/>
        <v>0</v>
      </c>
      <c r="N18" s="46">
        <f t="shared" si="3"/>
        <v>0</v>
      </c>
      <c r="O18" s="46">
        <f>'พ.ย.64'!N18</f>
        <v>0</v>
      </c>
      <c r="P18" s="69">
        <v>4836105.4000000004</v>
      </c>
      <c r="Q18" s="51">
        <v>93140544.109999999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>
        <v>3.94</v>
      </c>
      <c r="E19" s="47">
        <v>3.69</v>
      </c>
      <c r="F19" s="47">
        <v>0.85</v>
      </c>
      <c r="G19" s="47">
        <f t="shared" si="0"/>
        <v>0</v>
      </c>
      <c r="H19" s="51">
        <v>39933481.100000001</v>
      </c>
      <c r="I19" s="51">
        <v>10815614.18</v>
      </c>
      <c r="J19" s="47">
        <f t="shared" si="1"/>
        <v>0</v>
      </c>
      <c r="K19" s="49">
        <f>SUM(I19/3)</f>
        <v>3605204.7266666666</v>
      </c>
      <c r="L19" s="45">
        <f t="shared" si="5"/>
        <v>11.07661953414836</v>
      </c>
      <c r="M19" s="43">
        <f t="shared" si="4"/>
        <v>0</v>
      </c>
      <c r="N19" s="46">
        <f t="shared" si="3"/>
        <v>0</v>
      </c>
      <c r="O19" s="46">
        <f>'พ.ย.64'!N19</f>
        <v>0</v>
      </c>
      <c r="P19" s="69">
        <v>11283173.949999999</v>
      </c>
      <c r="Q19" s="62">
        <v>-2088198.58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>
        <v>2.56</v>
      </c>
      <c r="E20" s="47">
        <v>2.3199999999999998</v>
      </c>
      <c r="F20" s="47">
        <v>1.41</v>
      </c>
      <c r="G20" s="47">
        <f t="shared" si="0"/>
        <v>0</v>
      </c>
      <c r="H20" s="51">
        <v>13424937.83</v>
      </c>
      <c r="I20" s="51">
        <v>1436173.91</v>
      </c>
      <c r="J20" s="47">
        <f t="shared" si="1"/>
        <v>0</v>
      </c>
      <c r="K20" s="44">
        <f>SUM(I20/3)</f>
        <v>478724.63666666666</v>
      </c>
      <c r="L20" s="45">
        <f t="shared" si="5"/>
        <v>28.043131273704869</v>
      </c>
      <c r="M20" s="43">
        <f t="shared" si="4"/>
        <v>0</v>
      </c>
      <c r="N20" s="46">
        <f t="shared" si="3"/>
        <v>0</v>
      </c>
      <c r="O20" s="46">
        <f>'พ.ย.64'!N20</f>
        <v>0</v>
      </c>
      <c r="P20" s="69">
        <v>1955029.49</v>
      </c>
      <c r="Q20" s="51">
        <v>3553009.25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8" sqref="K8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9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1" t="s">
        <v>66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63" t="s">
        <v>53</v>
      </c>
      <c r="P1" s="64">
        <v>242937</v>
      </c>
      <c r="Q1" s="41"/>
    </row>
    <row r="2" spans="1:25" ht="54.75" customHeight="1" thickBot="1" x14ac:dyDescent="0.3">
      <c r="C2" s="108" t="s">
        <v>41</v>
      </c>
      <c r="D2" s="112" t="s">
        <v>40</v>
      </c>
      <c r="E2" s="112"/>
      <c r="F2" s="112"/>
      <c r="G2" s="112"/>
      <c r="H2" s="113" t="s">
        <v>39</v>
      </c>
      <c r="I2" s="113"/>
      <c r="J2" s="113"/>
      <c r="K2" s="114" t="s">
        <v>38</v>
      </c>
      <c r="L2" s="114"/>
      <c r="M2" s="114"/>
      <c r="N2" s="115" t="s">
        <v>67</v>
      </c>
      <c r="O2" s="117" t="s">
        <v>68</v>
      </c>
      <c r="P2" s="117" t="s">
        <v>56</v>
      </c>
      <c r="Q2" s="131" t="s">
        <v>37</v>
      </c>
    </row>
    <row r="3" spans="1:25" ht="38.25" customHeight="1" thickBot="1" x14ac:dyDescent="0.3">
      <c r="C3" s="108"/>
      <c r="D3" s="108" t="s">
        <v>36</v>
      </c>
      <c r="E3" s="108" t="s">
        <v>35</v>
      </c>
      <c r="F3" s="108" t="s">
        <v>34</v>
      </c>
      <c r="G3" s="106" t="s">
        <v>29</v>
      </c>
      <c r="H3" s="107" t="s">
        <v>33</v>
      </c>
      <c r="I3" s="108" t="s">
        <v>32</v>
      </c>
      <c r="J3" s="109" t="s">
        <v>29</v>
      </c>
      <c r="K3" s="110" t="s">
        <v>31</v>
      </c>
      <c r="L3" s="108" t="s">
        <v>30</v>
      </c>
      <c r="M3" s="116" t="s">
        <v>29</v>
      </c>
      <c r="N3" s="115"/>
      <c r="O3" s="117"/>
      <c r="P3" s="117"/>
      <c r="Q3" s="131"/>
    </row>
    <row r="4" spans="1:25" ht="36.75" customHeight="1" thickBot="1" x14ac:dyDescent="0.3">
      <c r="C4" s="108"/>
      <c r="D4" s="108"/>
      <c r="E4" s="108"/>
      <c r="F4" s="108"/>
      <c r="G4" s="106"/>
      <c r="H4" s="107"/>
      <c r="I4" s="108"/>
      <c r="J4" s="109"/>
      <c r="K4" s="110"/>
      <c r="L4" s="108"/>
      <c r="M4" s="116"/>
      <c r="N4" s="115"/>
      <c r="O4" s="117"/>
      <c r="P4" s="117"/>
      <c r="Q4" s="131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>
        <v>2.1800000000000002</v>
      </c>
      <c r="E5" s="47">
        <v>1.99</v>
      </c>
      <c r="F5" s="47">
        <v>0.85</v>
      </c>
      <c r="G5" s="47">
        <f t="shared" ref="G5:G20" si="0">(IF(D5&lt;1.5,1,0))+(IF(E5&lt;1,1,0))+(IF(F5&lt;0.8,1,0))</f>
        <v>0</v>
      </c>
      <c r="H5" s="51">
        <v>416194473.94999999</v>
      </c>
      <c r="I5" s="51">
        <v>164578663.87</v>
      </c>
      <c r="J5" s="47">
        <f t="shared" ref="J5:J20" si="1">IF(I5&lt;0,1,0)+IF(H5&lt;0,1,0)</f>
        <v>0</v>
      </c>
      <c r="K5" s="49">
        <f t="shared" ref="K5:K20" si="2">SUM(I5/4)</f>
        <v>41144665.967500001</v>
      </c>
      <c r="L5" s="45">
        <f>+H5/K5</f>
        <v>10.115393190425953</v>
      </c>
      <c r="M5" s="43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46">
        <f>SUM(G5+J5+M5)</f>
        <v>0</v>
      </c>
      <c r="O5" s="46">
        <f>'ธ.ค.64'!N5</f>
        <v>1</v>
      </c>
      <c r="P5" s="69">
        <v>178633391.16</v>
      </c>
      <c r="Q5" s="90">
        <v>-53940953.049999997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7">
        <v>1.98</v>
      </c>
      <c r="E6" s="47">
        <v>1.89</v>
      </c>
      <c r="F6" s="47">
        <v>1.05</v>
      </c>
      <c r="G6" s="61">
        <f>(IF(D6&lt;1.5,1,0))+(IF(E6&lt;1,1,0))+(IF(F6&lt;0.8,1,0))</f>
        <v>0</v>
      </c>
      <c r="H6" s="51">
        <v>143395374.56999999</v>
      </c>
      <c r="I6" s="51">
        <v>102424799.23</v>
      </c>
      <c r="J6" s="61">
        <f>IF(I6&lt;0,1,0)+IF(H6&lt;0,1,0)</f>
        <v>0</v>
      </c>
      <c r="K6" s="49">
        <f t="shared" si="2"/>
        <v>25606199.807500001</v>
      </c>
      <c r="L6" s="45">
        <f>+H6/K6</f>
        <v>5.6000256050489696</v>
      </c>
      <c r="M6" s="47">
        <f t="shared" ref="M6:M20" si="3">IF(AND(I6&lt;0,H6&lt;0),2,IF(AND(I6&gt;0,H6&gt;0),0,IF(AND(H6&lt;0,I6&gt;0),IF(ABS((H6/(I6/4)))&lt;3,0,IF(ABS((H6/(I6/4)))&gt;6,2,1)),IF(AND(H6&gt;0,I6&lt;0),IF(ABS((H6/(I6/4)))&lt;3,2,IF(ABS((H6/(I6/4)))&gt;6,0,1))))))</f>
        <v>0</v>
      </c>
      <c r="N6" s="46">
        <f t="shared" ref="N6:N8" si="4">SUM(G6+J6+M6)</f>
        <v>0</v>
      </c>
      <c r="O6" s="46">
        <f>'ธ.ค.64'!N6</f>
        <v>0</v>
      </c>
      <c r="P6" s="69">
        <v>114125174.51000001</v>
      </c>
      <c r="Q6" s="51">
        <v>7448964.0999999996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>
        <v>3.08</v>
      </c>
      <c r="E7" s="47">
        <v>2.88</v>
      </c>
      <c r="F7" s="47">
        <v>1.87</v>
      </c>
      <c r="G7" s="47">
        <f t="shared" si="0"/>
        <v>0</v>
      </c>
      <c r="H7" s="51">
        <v>61384795.68</v>
      </c>
      <c r="I7" s="51">
        <v>22890920.809999999</v>
      </c>
      <c r="J7" s="47">
        <f t="shared" si="1"/>
        <v>0</v>
      </c>
      <c r="K7" s="49">
        <f t="shared" si="2"/>
        <v>5722730.2024999997</v>
      </c>
      <c r="L7" s="45">
        <f t="shared" ref="L7:L20" si="5">+H7/K7</f>
        <v>10.726487796538754</v>
      </c>
      <c r="M7" s="43">
        <f t="shared" si="3"/>
        <v>0</v>
      </c>
      <c r="N7" s="46">
        <f t="shared" si="4"/>
        <v>0</v>
      </c>
      <c r="O7" s="46">
        <f>'ธ.ค.64'!N7</f>
        <v>0</v>
      </c>
      <c r="P7" s="69">
        <v>20570621.48</v>
      </c>
      <c r="Q7" s="51">
        <v>25612136.280000001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>
        <v>8.0500000000000007</v>
      </c>
      <c r="E8" s="47">
        <v>7.76</v>
      </c>
      <c r="F8" s="47">
        <v>5.93</v>
      </c>
      <c r="G8" s="61">
        <f t="shared" si="0"/>
        <v>0</v>
      </c>
      <c r="H8" s="51">
        <v>94169189.060000002</v>
      </c>
      <c r="I8" s="51">
        <v>40323690.719999999</v>
      </c>
      <c r="J8" s="61">
        <f t="shared" si="1"/>
        <v>0</v>
      </c>
      <c r="K8" s="49">
        <f t="shared" si="2"/>
        <v>10080922.68</v>
      </c>
      <c r="L8" s="45">
        <f t="shared" si="5"/>
        <v>9.3413263893816527</v>
      </c>
      <c r="M8" s="43">
        <f t="shared" si="3"/>
        <v>0</v>
      </c>
      <c r="N8" s="46">
        <f t="shared" si="4"/>
        <v>0</v>
      </c>
      <c r="O8" s="46">
        <f>'ธ.ค.64'!N8</f>
        <v>0</v>
      </c>
      <c r="P8" s="69">
        <v>40476127.350000001</v>
      </c>
      <c r="Q8" s="51">
        <v>65782913.259999998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>
        <v>3.93</v>
      </c>
      <c r="E9" s="47">
        <v>3.68</v>
      </c>
      <c r="F9" s="47">
        <v>2.61</v>
      </c>
      <c r="G9" s="47">
        <f t="shared" si="0"/>
        <v>0</v>
      </c>
      <c r="H9" s="51">
        <v>55913760.359999999</v>
      </c>
      <c r="I9" s="51">
        <v>13127577.970000001</v>
      </c>
      <c r="J9" s="47">
        <f t="shared" si="1"/>
        <v>0</v>
      </c>
      <c r="K9" s="49">
        <f t="shared" si="2"/>
        <v>3281894.4925000002</v>
      </c>
      <c r="L9" s="45">
        <f t="shared" si="5"/>
        <v>17.037037749926995</v>
      </c>
      <c r="M9" s="43">
        <f t="shared" si="3"/>
        <v>0</v>
      </c>
      <c r="N9" s="46">
        <f t="shared" ref="N9:N20" si="6">SUM(G9+J9+M9)</f>
        <v>0</v>
      </c>
      <c r="O9" s="46">
        <f>'ธ.ค.64'!N9</f>
        <v>0</v>
      </c>
      <c r="P9" s="69">
        <v>11813014.01</v>
      </c>
      <c r="Q9" s="51">
        <v>30815547.949999999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>
        <v>1.79</v>
      </c>
      <c r="E10" s="47">
        <v>1.68</v>
      </c>
      <c r="F10" s="47">
        <v>1.29</v>
      </c>
      <c r="G10" s="47">
        <f t="shared" si="0"/>
        <v>0</v>
      </c>
      <c r="H10" s="51">
        <v>19615142.27</v>
      </c>
      <c r="I10" s="51">
        <v>7922535.9199999999</v>
      </c>
      <c r="J10" s="47">
        <f t="shared" si="1"/>
        <v>0</v>
      </c>
      <c r="K10" s="49">
        <f t="shared" si="2"/>
        <v>1980633.98</v>
      </c>
      <c r="L10" s="45">
        <f t="shared" si="5"/>
        <v>9.9034665001556714</v>
      </c>
      <c r="M10" s="43">
        <f t="shared" si="3"/>
        <v>0</v>
      </c>
      <c r="N10" s="46">
        <f t="shared" si="6"/>
        <v>0</v>
      </c>
      <c r="O10" s="46">
        <f>'ธ.ค.64'!N10</f>
        <v>0</v>
      </c>
      <c r="P10" s="69">
        <v>8700167.9600000009</v>
      </c>
      <c r="Q10" s="51">
        <v>6006088.79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>
        <v>4.71</v>
      </c>
      <c r="E11" s="47">
        <v>4.5199999999999996</v>
      </c>
      <c r="F11" s="47">
        <v>3.83</v>
      </c>
      <c r="G11" s="47">
        <f t="shared" si="0"/>
        <v>0</v>
      </c>
      <c r="H11" s="51">
        <v>191982711.84</v>
      </c>
      <c r="I11" s="51">
        <v>71380988.760000005</v>
      </c>
      <c r="J11" s="47">
        <f t="shared" si="1"/>
        <v>0</v>
      </c>
      <c r="K11" s="49">
        <f t="shared" si="2"/>
        <v>17845247.190000001</v>
      </c>
      <c r="L11" s="45">
        <f t="shared" si="5"/>
        <v>10.758198516161881</v>
      </c>
      <c r="M11" s="43">
        <f t="shared" si="3"/>
        <v>0</v>
      </c>
      <c r="N11" s="46">
        <f t="shared" si="6"/>
        <v>0</v>
      </c>
      <c r="O11" s="46">
        <f>'ธ.ค.64'!N11</f>
        <v>0</v>
      </c>
      <c r="P11" s="69">
        <v>83016131.959999993</v>
      </c>
      <c r="Q11" s="51">
        <v>146082396.25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>
        <v>2.56</v>
      </c>
      <c r="E12" s="47">
        <v>2.37</v>
      </c>
      <c r="F12" s="47">
        <v>1.49</v>
      </c>
      <c r="G12" s="47">
        <f t="shared" si="0"/>
        <v>0</v>
      </c>
      <c r="H12" s="51">
        <v>39101754.149999999</v>
      </c>
      <c r="I12" s="51">
        <v>22905822.629999999</v>
      </c>
      <c r="J12" s="47">
        <f t="shared" si="1"/>
        <v>0</v>
      </c>
      <c r="K12" s="49">
        <f t="shared" si="2"/>
        <v>5726455.6574999997</v>
      </c>
      <c r="L12" s="45">
        <f t="shared" si="5"/>
        <v>6.8282645476854462</v>
      </c>
      <c r="M12" s="43">
        <f t="shared" si="3"/>
        <v>0</v>
      </c>
      <c r="N12" s="46">
        <f t="shared" si="6"/>
        <v>0</v>
      </c>
      <c r="O12" s="46">
        <f>'ธ.ค.64'!N12</f>
        <v>0</v>
      </c>
      <c r="P12" s="69">
        <v>23325300.780000001</v>
      </c>
      <c r="Q12" s="51">
        <v>12418530.699999999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>
        <v>4.4800000000000004</v>
      </c>
      <c r="E13" s="47">
        <v>4.42</v>
      </c>
      <c r="F13" s="47">
        <v>2.06</v>
      </c>
      <c r="G13" s="47">
        <f t="shared" si="0"/>
        <v>0</v>
      </c>
      <c r="H13" s="51">
        <v>99939119.159999996</v>
      </c>
      <c r="I13" s="51">
        <v>36689604.899999999</v>
      </c>
      <c r="J13" s="47">
        <f t="shared" si="1"/>
        <v>0</v>
      </c>
      <c r="K13" s="49">
        <f t="shared" si="2"/>
        <v>9172401.2249999996</v>
      </c>
      <c r="L13" s="45">
        <f t="shared" si="5"/>
        <v>10.895633183556033</v>
      </c>
      <c r="M13" s="43">
        <f t="shared" si="3"/>
        <v>0</v>
      </c>
      <c r="N13" s="46">
        <f t="shared" si="6"/>
        <v>0</v>
      </c>
      <c r="O13" s="46">
        <f>'ธ.ค.64'!N13</f>
        <v>0</v>
      </c>
      <c r="P13" s="69">
        <v>37504803.170000002</v>
      </c>
      <c r="Q13" s="51">
        <v>30434987.329999998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>
        <v>4.8600000000000003</v>
      </c>
      <c r="E14" s="47">
        <v>4.62</v>
      </c>
      <c r="F14" s="47">
        <v>2.4700000000000002</v>
      </c>
      <c r="G14" s="47">
        <f t="shared" si="0"/>
        <v>0</v>
      </c>
      <c r="H14" s="51">
        <v>67314713.829999998</v>
      </c>
      <c r="I14" s="51">
        <v>38742192.210000001</v>
      </c>
      <c r="J14" s="47">
        <f t="shared" si="1"/>
        <v>0</v>
      </c>
      <c r="K14" s="49">
        <f t="shared" si="2"/>
        <v>9685548.0525000002</v>
      </c>
      <c r="L14" s="45">
        <f t="shared" si="5"/>
        <v>6.9500159892991249</v>
      </c>
      <c r="M14" s="43">
        <f t="shared" si="3"/>
        <v>0</v>
      </c>
      <c r="N14" s="46">
        <f t="shared" si="6"/>
        <v>0</v>
      </c>
      <c r="O14" s="46">
        <f>'ธ.ค.64'!N14</f>
        <v>0</v>
      </c>
      <c r="P14" s="69">
        <v>40502584.539999999</v>
      </c>
      <c r="Q14" s="51">
        <v>25605685.629999999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>
        <v>6.02</v>
      </c>
      <c r="E15" s="47">
        <v>5.67</v>
      </c>
      <c r="F15" s="47">
        <v>4.1399999999999997</v>
      </c>
      <c r="G15" s="47">
        <f t="shared" si="0"/>
        <v>0</v>
      </c>
      <c r="H15" s="51">
        <v>67928150.680000007</v>
      </c>
      <c r="I15" s="51">
        <v>28044075.920000002</v>
      </c>
      <c r="J15" s="47">
        <f t="shared" si="1"/>
        <v>0</v>
      </c>
      <c r="K15" s="49">
        <f t="shared" si="2"/>
        <v>7011018.9800000004</v>
      </c>
      <c r="L15" s="45">
        <f t="shared" si="5"/>
        <v>9.6887700452352803</v>
      </c>
      <c r="M15" s="43">
        <f t="shared" si="3"/>
        <v>0</v>
      </c>
      <c r="N15" s="46">
        <f t="shared" si="6"/>
        <v>0</v>
      </c>
      <c r="O15" s="46">
        <f>'ธ.ค.64'!N15</f>
        <v>0</v>
      </c>
      <c r="P15" s="69">
        <v>29554051.210000001</v>
      </c>
      <c r="Q15" s="51">
        <v>42541148.880000003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54">
        <v>8.9</v>
      </c>
      <c r="E16" s="47">
        <v>8.52</v>
      </c>
      <c r="F16" s="47">
        <v>5.82</v>
      </c>
      <c r="G16" s="47">
        <f t="shared" si="0"/>
        <v>0</v>
      </c>
      <c r="H16" s="51">
        <v>184205057.44999999</v>
      </c>
      <c r="I16" s="51">
        <v>39391052.07</v>
      </c>
      <c r="J16" s="47">
        <f t="shared" si="1"/>
        <v>0</v>
      </c>
      <c r="K16" s="49">
        <f t="shared" si="2"/>
        <v>9847763.0175000001</v>
      </c>
      <c r="L16" s="45">
        <f t="shared" si="5"/>
        <v>18.705269117733415</v>
      </c>
      <c r="M16" s="43">
        <f t="shared" si="3"/>
        <v>0</v>
      </c>
      <c r="N16" s="46">
        <f t="shared" si="6"/>
        <v>0</v>
      </c>
      <c r="O16" s="46">
        <f>'ธ.ค.64'!N16</f>
        <v>0</v>
      </c>
      <c r="P16" s="69">
        <v>27552471.760000002</v>
      </c>
      <c r="Q16" s="51">
        <v>112281812.38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54">
        <v>3</v>
      </c>
      <c r="E17" s="54">
        <v>2.9</v>
      </c>
      <c r="F17" s="47">
        <v>2.27</v>
      </c>
      <c r="G17" s="47">
        <f t="shared" si="0"/>
        <v>0</v>
      </c>
      <c r="H17" s="51">
        <v>19157425.350000001</v>
      </c>
      <c r="I17" s="51">
        <v>8452116.0199999996</v>
      </c>
      <c r="J17" s="47">
        <f t="shared" si="1"/>
        <v>0</v>
      </c>
      <c r="K17" s="49">
        <f t="shared" si="2"/>
        <v>2113029.0049999999</v>
      </c>
      <c r="L17" s="45">
        <f t="shared" si="5"/>
        <v>9.0663333558925761</v>
      </c>
      <c r="M17" s="43">
        <f t="shared" si="3"/>
        <v>0</v>
      </c>
      <c r="N17" s="46">
        <f t="shared" si="6"/>
        <v>0</v>
      </c>
      <c r="O17" s="46">
        <f>'ธ.ค.64'!N17</f>
        <v>0</v>
      </c>
      <c r="P17" s="69">
        <v>9091799.1600000001</v>
      </c>
      <c r="Q17" s="51">
        <v>12149653.92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>
        <v>8.27</v>
      </c>
      <c r="E18" s="47">
        <v>8.1199999999999992</v>
      </c>
      <c r="F18" s="47">
        <v>6.08</v>
      </c>
      <c r="G18" s="47">
        <f t="shared" si="0"/>
        <v>0</v>
      </c>
      <c r="H18" s="51">
        <v>181780589.88</v>
      </c>
      <c r="I18" s="51">
        <v>6072595.3700000001</v>
      </c>
      <c r="J18" s="47">
        <f t="shared" si="1"/>
        <v>0</v>
      </c>
      <c r="K18" s="49">
        <f t="shared" si="2"/>
        <v>1518148.8425</v>
      </c>
      <c r="L18" s="45">
        <f t="shared" si="5"/>
        <v>119.73831866225594</v>
      </c>
      <c r="M18" s="43">
        <f t="shared" si="3"/>
        <v>0</v>
      </c>
      <c r="N18" s="46">
        <f t="shared" si="6"/>
        <v>0</v>
      </c>
      <c r="O18" s="46">
        <f>'ธ.ค.64'!N18</f>
        <v>0</v>
      </c>
      <c r="P18" s="69">
        <v>9879743.0399999991</v>
      </c>
      <c r="Q18" s="51">
        <v>127160490.08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>
        <v>4.6500000000000004</v>
      </c>
      <c r="E19" s="47">
        <v>4.37</v>
      </c>
      <c r="F19" s="47">
        <v>1.58</v>
      </c>
      <c r="G19" s="47">
        <f t="shared" si="0"/>
        <v>0</v>
      </c>
      <c r="H19" s="51">
        <v>45946208.740000002</v>
      </c>
      <c r="I19" s="51">
        <v>17720300.579999998</v>
      </c>
      <c r="J19" s="47">
        <f t="shared" si="1"/>
        <v>0</v>
      </c>
      <c r="K19" s="49">
        <f t="shared" si="2"/>
        <v>4430075.1449999996</v>
      </c>
      <c r="L19" s="45">
        <f t="shared" si="5"/>
        <v>10.371428753721514</v>
      </c>
      <c r="M19" s="43">
        <f t="shared" si="3"/>
        <v>0</v>
      </c>
      <c r="N19" s="46">
        <f t="shared" si="6"/>
        <v>0</v>
      </c>
      <c r="O19" s="46">
        <f>'ธ.ค.64'!N19</f>
        <v>0</v>
      </c>
      <c r="P19" s="69">
        <v>18567460.77</v>
      </c>
      <c r="Q19" s="51">
        <v>7299952.5499999998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>
        <v>3.02</v>
      </c>
      <c r="E20" s="47">
        <v>2.79</v>
      </c>
      <c r="F20" s="47">
        <v>1.91</v>
      </c>
      <c r="G20" s="47">
        <f t="shared" si="0"/>
        <v>0</v>
      </c>
      <c r="H20" s="51">
        <v>17099301.609999999</v>
      </c>
      <c r="I20" s="51">
        <v>4595795.5</v>
      </c>
      <c r="J20" s="47">
        <f t="shared" si="1"/>
        <v>0</v>
      </c>
      <c r="K20" s="49">
        <f t="shared" si="2"/>
        <v>1148948.875</v>
      </c>
      <c r="L20" s="45">
        <f t="shared" si="5"/>
        <v>14.882560905941093</v>
      </c>
      <c r="M20" s="43">
        <f t="shared" si="3"/>
        <v>0</v>
      </c>
      <c r="N20" s="46">
        <f t="shared" si="6"/>
        <v>0</v>
      </c>
      <c r="O20" s="46">
        <f>'ธ.ค.64'!N20</f>
        <v>0</v>
      </c>
      <c r="P20" s="69">
        <v>5513670.6299999999</v>
      </c>
      <c r="Q20" s="51">
        <v>7670638.0599999996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71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7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O5:O20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8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6">
      <colorScale>
        <cfvo type="min"/>
        <cfvo type="max"/>
        <color rgb="FFFF7128"/>
        <color theme="6" tint="0.79998168889431442"/>
      </colorScale>
    </cfRule>
  </conditionalFormatting>
  <conditionalFormatting sqref="N5:N20">
    <cfRule type="cellIs" dxfId="0" priority="1" operator="greaterThan">
      <formula>0.5</formula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  <pageSetUpPr fitToPage="1"/>
  </sheetPr>
  <dimension ref="A1:AJ44"/>
  <sheetViews>
    <sheetView zoomScale="60" zoomScaleNormal="6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H16" sqref="H1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1" t="s">
        <v>69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P1" s="68" t="s">
        <v>53</v>
      </c>
      <c r="Q1" s="41">
        <v>44636</v>
      </c>
    </row>
    <row r="2" spans="1:25" ht="54.75" customHeight="1" thickBot="1" x14ac:dyDescent="0.3">
      <c r="C2" s="108" t="s">
        <v>41</v>
      </c>
      <c r="D2" s="112" t="s">
        <v>40</v>
      </c>
      <c r="E2" s="112"/>
      <c r="F2" s="112"/>
      <c r="G2" s="112"/>
      <c r="H2" s="113" t="s">
        <v>39</v>
      </c>
      <c r="I2" s="113"/>
      <c r="J2" s="113"/>
      <c r="K2" s="114" t="s">
        <v>38</v>
      </c>
      <c r="L2" s="114"/>
      <c r="M2" s="114"/>
      <c r="N2" s="115" t="s">
        <v>70</v>
      </c>
      <c r="O2" s="117" t="s">
        <v>71</v>
      </c>
      <c r="P2" s="117" t="s">
        <v>56</v>
      </c>
      <c r="Q2" s="118" t="s">
        <v>37</v>
      </c>
    </row>
    <row r="3" spans="1:25" ht="38.25" customHeight="1" thickBot="1" x14ac:dyDescent="0.3">
      <c r="C3" s="108"/>
      <c r="D3" s="105" t="s">
        <v>36</v>
      </c>
      <c r="E3" s="105" t="s">
        <v>35</v>
      </c>
      <c r="F3" s="105" t="s">
        <v>34</v>
      </c>
      <c r="G3" s="106" t="s">
        <v>29</v>
      </c>
      <c r="H3" s="107" t="s">
        <v>33</v>
      </c>
      <c r="I3" s="108" t="s">
        <v>32</v>
      </c>
      <c r="J3" s="109" t="s">
        <v>29</v>
      </c>
      <c r="K3" s="110" t="s">
        <v>31</v>
      </c>
      <c r="L3" s="108" t="s">
        <v>30</v>
      </c>
      <c r="M3" s="116" t="s">
        <v>29</v>
      </c>
      <c r="N3" s="115"/>
      <c r="O3" s="117"/>
      <c r="P3" s="117"/>
      <c r="Q3" s="118"/>
    </row>
    <row r="4" spans="1:25" ht="36.75" customHeight="1" thickBot="1" x14ac:dyDescent="0.3">
      <c r="C4" s="108"/>
      <c r="D4" s="105"/>
      <c r="E4" s="105"/>
      <c r="F4" s="105"/>
      <c r="G4" s="106"/>
      <c r="H4" s="107"/>
      <c r="I4" s="108"/>
      <c r="J4" s="109"/>
      <c r="K4" s="110"/>
      <c r="L4" s="108"/>
      <c r="M4" s="116"/>
      <c r="N4" s="115"/>
      <c r="O4" s="117"/>
      <c r="P4" s="117"/>
      <c r="Q4" s="11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>
        <v>2.33</v>
      </c>
      <c r="E5" s="47">
        <v>2.12</v>
      </c>
      <c r="F5" s="66">
        <v>0.73</v>
      </c>
      <c r="G5" s="66">
        <f t="shared" ref="G5:G20" si="0">(IF(D5&lt;1.5,1,0))+(IF(E5&lt;1,1,0))+(IF(F5&lt;0.8,1,0))</f>
        <v>1</v>
      </c>
      <c r="H5" s="51">
        <v>408800965.94999999</v>
      </c>
      <c r="I5" s="51">
        <v>164800797.05000001</v>
      </c>
      <c r="J5" s="47">
        <f t="shared" ref="J5:J20" si="1">IF(I5&lt;0,1,0)+IF(H5&lt;0,1,0)</f>
        <v>0</v>
      </c>
      <c r="K5" s="49">
        <f t="shared" ref="K5:K20" si="2">SUM(I5/5)</f>
        <v>32960159.410000004</v>
      </c>
      <c r="L5" s="45">
        <f>+H5/K5</f>
        <v>12.402881941947498</v>
      </c>
      <c r="M5" s="43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46">
        <f t="shared" ref="N5:N20" si="3">SUM(G5+J5+M5)</f>
        <v>1</v>
      </c>
      <c r="O5" s="46">
        <f>'ม.ค.65'!N5</f>
        <v>0</v>
      </c>
      <c r="P5" s="69">
        <v>184623990.16999999</v>
      </c>
      <c r="Q5" s="90">
        <v>-83545613.769999996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7">
        <v>2.08</v>
      </c>
      <c r="E6" s="54">
        <v>2</v>
      </c>
      <c r="F6" s="47">
        <v>1.04</v>
      </c>
      <c r="G6" s="61">
        <f t="shared" si="0"/>
        <v>0</v>
      </c>
      <c r="H6" s="51">
        <v>141900516.38</v>
      </c>
      <c r="I6" s="51">
        <v>100898268.81</v>
      </c>
      <c r="J6" s="61">
        <f>IF(I6&lt;0,1,0)+IF(H6&lt;0,1,0)</f>
        <v>0</v>
      </c>
      <c r="K6" s="49">
        <f t="shared" si="2"/>
        <v>20179653.762000002</v>
      </c>
      <c r="L6" s="45">
        <f>+H6/K6</f>
        <v>7.0318608066115926</v>
      </c>
      <c r="M6" s="47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0</v>
      </c>
      <c r="N6" s="46">
        <f>SUM(G6+J6+M6)</f>
        <v>0</v>
      </c>
      <c r="O6" s="46">
        <f>'ม.ค.65'!N6</f>
        <v>0</v>
      </c>
      <c r="P6" s="69">
        <v>113023321.2</v>
      </c>
      <c r="Q6" s="51">
        <v>5154953.3099999996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54">
        <v>3.3</v>
      </c>
      <c r="E7" s="47">
        <v>3.09</v>
      </c>
      <c r="F7" s="47">
        <v>2.16</v>
      </c>
      <c r="G7" s="47">
        <f t="shared" si="0"/>
        <v>0</v>
      </c>
      <c r="H7" s="51">
        <v>65958845.590000004</v>
      </c>
      <c r="I7" s="51">
        <v>27393150.91</v>
      </c>
      <c r="J7" s="47">
        <f t="shared" si="1"/>
        <v>0</v>
      </c>
      <c r="K7" s="49">
        <f t="shared" si="2"/>
        <v>5478630.182</v>
      </c>
      <c r="L7" s="45">
        <f t="shared" ref="L7:L20" si="5">+H7/K7</f>
        <v>12.039295115539522</v>
      </c>
      <c r="M7" s="43">
        <f t="shared" si="4"/>
        <v>0</v>
      </c>
      <c r="N7" s="46">
        <f t="shared" si="3"/>
        <v>0</v>
      </c>
      <c r="O7" s="46">
        <f>'ม.ค.65'!N7</f>
        <v>0</v>
      </c>
      <c r="P7" s="69">
        <v>25343305.390000001</v>
      </c>
      <c r="Q7" s="51">
        <v>33316885.93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>
        <v>8.3800000000000008</v>
      </c>
      <c r="E8" s="47">
        <v>8.08</v>
      </c>
      <c r="F8" s="47">
        <v>6.29</v>
      </c>
      <c r="G8" s="61">
        <f t="shared" si="0"/>
        <v>0</v>
      </c>
      <c r="H8" s="51">
        <v>96974942.069999993</v>
      </c>
      <c r="I8" s="51">
        <v>44400053.43</v>
      </c>
      <c r="J8" s="61">
        <f t="shared" si="1"/>
        <v>0</v>
      </c>
      <c r="K8" s="49">
        <f t="shared" si="2"/>
        <v>8880010.6860000007</v>
      </c>
      <c r="L8" s="45">
        <f t="shared" si="5"/>
        <v>10.920588442859447</v>
      </c>
      <c r="M8" s="43">
        <f t="shared" si="4"/>
        <v>0</v>
      </c>
      <c r="N8" s="46">
        <f t="shared" si="3"/>
        <v>0</v>
      </c>
      <c r="O8" s="46">
        <f>'ม.ค.65'!N8</f>
        <v>0</v>
      </c>
      <c r="P8" s="69">
        <v>46012621.060000002</v>
      </c>
      <c r="Q8" s="51">
        <v>69492784.400000006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>
        <v>3.84</v>
      </c>
      <c r="E9" s="47">
        <v>3.62</v>
      </c>
      <c r="F9" s="47">
        <v>2.5499999999999998</v>
      </c>
      <c r="G9" s="47">
        <f t="shared" si="0"/>
        <v>0</v>
      </c>
      <c r="H9" s="51">
        <v>56739978.939999998</v>
      </c>
      <c r="I9" s="51">
        <v>14000988.109999999</v>
      </c>
      <c r="J9" s="47">
        <f t="shared" si="1"/>
        <v>0</v>
      </c>
      <c r="K9" s="49">
        <f t="shared" si="2"/>
        <v>2800197.622</v>
      </c>
      <c r="L9" s="45">
        <f t="shared" si="5"/>
        <v>20.262848055514848</v>
      </c>
      <c r="M9" s="43">
        <f t="shared" si="4"/>
        <v>0</v>
      </c>
      <c r="N9" s="46">
        <f t="shared" si="3"/>
        <v>0</v>
      </c>
      <c r="O9" s="46">
        <f>'ม.ค.65'!N9</f>
        <v>0</v>
      </c>
      <c r="P9" s="69">
        <v>13313960.09</v>
      </c>
      <c r="Q9" s="51">
        <v>30999501.77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>
        <v>1.68</v>
      </c>
      <c r="E10" s="47">
        <v>1.57</v>
      </c>
      <c r="F10" s="54">
        <v>1.2</v>
      </c>
      <c r="G10" s="47">
        <f t="shared" si="0"/>
        <v>0</v>
      </c>
      <c r="H10" s="51">
        <v>17024520.199999999</v>
      </c>
      <c r="I10" s="51">
        <v>5251078.4800000004</v>
      </c>
      <c r="J10" s="47">
        <f t="shared" si="1"/>
        <v>0</v>
      </c>
      <c r="K10" s="49">
        <f t="shared" si="2"/>
        <v>1050215.696</v>
      </c>
      <c r="L10" s="45">
        <f t="shared" si="5"/>
        <v>16.210498724064013</v>
      </c>
      <c r="M10" s="43">
        <f t="shared" si="4"/>
        <v>0</v>
      </c>
      <c r="N10" s="46">
        <f t="shared" si="3"/>
        <v>0</v>
      </c>
      <c r="O10" s="46">
        <f>'ม.ค.65'!N10</f>
        <v>0</v>
      </c>
      <c r="P10" s="69">
        <v>6347940.6500000004</v>
      </c>
      <c r="Q10" s="51">
        <v>5019469.42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>
        <v>4.45</v>
      </c>
      <c r="E11" s="47">
        <v>4.26</v>
      </c>
      <c r="F11" s="47">
        <v>3.59</v>
      </c>
      <c r="G11" s="47">
        <f t="shared" si="0"/>
        <v>0</v>
      </c>
      <c r="H11" s="51">
        <v>201140092.78999999</v>
      </c>
      <c r="I11" s="51">
        <v>67750121.180000007</v>
      </c>
      <c r="J11" s="47">
        <f t="shared" si="1"/>
        <v>0</v>
      </c>
      <c r="K11" s="49">
        <f t="shared" si="2"/>
        <v>13550024.236000001</v>
      </c>
      <c r="L11" s="45">
        <f t="shared" si="5"/>
        <v>14.844260739815253</v>
      </c>
      <c r="M11" s="43">
        <f t="shared" si="4"/>
        <v>0</v>
      </c>
      <c r="N11" s="46">
        <f t="shared" si="3"/>
        <v>0</v>
      </c>
      <c r="O11" s="46">
        <f>'ม.ค.65'!N11</f>
        <v>0</v>
      </c>
      <c r="P11" s="69">
        <v>92060608.459999993</v>
      </c>
      <c r="Q11" s="51">
        <v>150673253.58000001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>
        <v>2.54</v>
      </c>
      <c r="E12" s="47">
        <v>2.33</v>
      </c>
      <c r="F12" s="47">
        <v>1.36</v>
      </c>
      <c r="G12" s="47">
        <f t="shared" si="0"/>
        <v>0</v>
      </c>
      <c r="H12" s="51">
        <v>38220009.719999999</v>
      </c>
      <c r="I12" s="51">
        <v>21701695.120000001</v>
      </c>
      <c r="J12" s="47">
        <f t="shared" si="1"/>
        <v>0</v>
      </c>
      <c r="K12" s="49">
        <f t="shared" si="2"/>
        <v>4340339.0240000002</v>
      </c>
      <c r="L12" s="45">
        <f t="shared" si="5"/>
        <v>8.8057659801830255</v>
      </c>
      <c r="M12" s="43">
        <f t="shared" si="4"/>
        <v>0</v>
      </c>
      <c r="N12" s="46">
        <f t="shared" si="3"/>
        <v>0</v>
      </c>
      <c r="O12" s="46">
        <f>'ม.ค.65'!N12</f>
        <v>0</v>
      </c>
      <c r="P12" s="69">
        <v>22492233.25</v>
      </c>
      <c r="Q12" s="51">
        <v>8859712.0099999998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>
        <v>4.71</v>
      </c>
      <c r="E13" s="47">
        <v>4.63</v>
      </c>
      <c r="F13" s="47">
        <v>2.11</v>
      </c>
      <c r="G13" s="47">
        <f t="shared" si="0"/>
        <v>0</v>
      </c>
      <c r="H13" s="51">
        <v>99596541.709999993</v>
      </c>
      <c r="I13" s="51">
        <v>36632432</v>
      </c>
      <c r="J13" s="47">
        <f t="shared" si="1"/>
        <v>0</v>
      </c>
      <c r="K13" s="49">
        <f t="shared" si="2"/>
        <v>7326486.4000000004</v>
      </c>
      <c r="L13" s="45">
        <f t="shared" si="5"/>
        <v>13.594038980267538</v>
      </c>
      <c r="M13" s="43">
        <f t="shared" si="4"/>
        <v>0</v>
      </c>
      <c r="N13" s="46">
        <f t="shared" si="3"/>
        <v>0</v>
      </c>
      <c r="O13" s="46">
        <f>'ม.ค.65'!N13</f>
        <v>0</v>
      </c>
      <c r="P13" s="69">
        <v>37895998.530000001</v>
      </c>
      <c r="Q13" s="51">
        <v>29738558.829999998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>
        <v>5.07</v>
      </c>
      <c r="E14" s="47">
        <v>4.79</v>
      </c>
      <c r="F14" s="47">
        <v>2.69</v>
      </c>
      <c r="G14" s="47">
        <f t="shared" si="0"/>
        <v>0</v>
      </c>
      <c r="H14" s="51">
        <v>70928011.799999997</v>
      </c>
      <c r="I14" s="51">
        <v>40601547.189999998</v>
      </c>
      <c r="J14" s="47">
        <f t="shared" si="1"/>
        <v>0</v>
      </c>
      <c r="K14" s="49">
        <f t="shared" si="2"/>
        <v>8120309.4379999992</v>
      </c>
      <c r="L14" s="45">
        <f t="shared" si="5"/>
        <v>8.734643961729283</v>
      </c>
      <c r="M14" s="43">
        <f t="shared" si="4"/>
        <v>0</v>
      </c>
      <c r="N14" s="46">
        <f t="shared" si="3"/>
        <v>0</v>
      </c>
      <c r="O14" s="46">
        <f>'ม.ค.65'!N14</f>
        <v>0</v>
      </c>
      <c r="P14" s="69">
        <v>43024829.829999998</v>
      </c>
      <c r="Q14" s="51">
        <v>29502959.48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>
        <v>5.95</v>
      </c>
      <c r="E15" s="47">
        <v>5.63</v>
      </c>
      <c r="F15" s="47">
        <v>4.26</v>
      </c>
      <c r="G15" s="47">
        <f t="shared" si="0"/>
        <v>0</v>
      </c>
      <c r="H15" s="51">
        <v>68627002.150000006</v>
      </c>
      <c r="I15" s="51">
        <v>30619266.280000001</v>
      </c>
      <c r="J15" s="47">
        <f t="shared" si="1"/>
        <v>0</v>
      </c>
      <c r="K15" s="49">
        <f t="shared" si="2"/>
        <v>6123853.2560000001</v>
      </c>
      <c r="L15" s="45">
        <f t="shared" si="5"/>
        <v>11.206506635795193</v>
      </c>
      <c r="M15" s="43">
        <f t="shared" si="4"/>
        <v>0</v>
      </c>
      <c r="N15" s="46">
        <f t="shared" si="3"/>
        <v>0</v>
      </c>
      <c r="O15" s="46">
        <f>'ม.ค.65'!N15</f>
        <v>0</v>
      </c>
      <c r="P15" s="69">
        <v>32676934.899999999</v>
      </c>
      <c r="Q15" s="51">
        <v>44982339.380000003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>
        <v>8.9700000000000006</v>
      </c>
      <c r="E16" s="47">
        <v>8.6300000000000008</v>
      </c>
      <c r="F16" s="47">
        <v>5.91</v>
      </c>
      <c r="G16" s="47">
        <f t="shared" si="0"/>
        <v>0</v>
      </c>
      <c r="H16" s="51">
        <v>182492225.52000001</v>
      </c>
      <c r="I16" s="51">
        <v>37488924.590000004</v>
      </c>
      <c r="J16" s="47">
        <f t="shared" si="1"/>
        <v>0</v>
      </c>
      <c r="K16" s="49">
        <f t="shared" si="2"/>
        <v>7497784.9180000005</v>
      </c>
      <c r="L16" s="45">
        <f t="shared" si="5"/>
        <v>24.33948526342617</v>
      </c>
      <c r="M16" s="43">
        <f t="shared" si="4"/>
        <v>0</v>
      </c>
      <c r="N16" s="46">
        <f t="shared" si="3"/>
        <v>0</v>
      </c>
      <c r="O16" s="46">
        <f>'ม.ค.65'!N16</f>
        <v>0</v>
      </c>
      <c r="P16" s="69">
        <v>24439328.800000001</v>
      </c>
      <c r="Q16" s="51">
        <v>112378618.68000001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>
        <v>3.06</v>
      </c>
      <c r="E17" s="47">
        <v>2.95</v>
      </c>
      <c r="F17" s="47">
        <v>2.31</v>
      </c>
      <c r="G17" s="47">
        <f t="shared" si="0"/>
        <v>0</v>
      </c>
      <c r="H17" s="51">
        <v>19448102.620000001</v>
      </c>
      <c r="I17" s="51">
        <v>8469094.5800000001</v>
      </c>
      <c r="J17" s="47">
        <f t="shared" si="1"/>
        <v>0</v>
      </c>
      <c r="K17" s="49">
        <f t="shared" si="2"/>
        <v>1693818.916</v>
      </c>
      <c r="L17" s="45">
        <f t="shared" si="5"/>
        <v>11.481807433068012</v>
      </c>
      <c r="M17" s="43">
        <f t="shared" si="4"/>
        <v>0</v>
      </c>
      <c r="N17" s="46">
        <f t="shared" si="3"/>
        <v>0</v>
      </c>
      <c r="O17" s="46">
        <f>'ม.ค.65'!N17</f>
        <v>0</v>
      </c>
      <c r="P17" s="69">
        <v>9372692.4299999997</v>
      </c>
      <c r="Q17" s="51">
        <v>12318417.300000001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>
        <v>6.72</v>
      </c>
      <c r="E18" s="47">
        <v>6.61</v>
      </c>
      <c r="F18" s="47">
        <v>5.04</v>
      </c>
      <c r="G18" s="47">
        <f t="shared" si="0"/>
        <v>0</v>
      </c>
      <c r="H18" s="51">
        <v>180203951.03</v>
      </c>
      <c r="I18" s="51">
        <v>9755805.1199999992</v>
      </c>
      <c r="J18" s="47">
        <f t="shared" si="1"/>
        <v>0</v>
      </c>
      <c r="K18" s="49">
        <f t="shared" si="2"/>
        <v>1951161.0239999997</v>
      </c>
      <c r="L18" s="45">
        <f t="shared" si="5"/>
        <v>92.35729333121408</v>
      </c>
      <c r="M18" s="43">
        <f t="shared" si="4"/>
        <v>0</v>
      </c>
      <c r="N18" s="46">
        <f t="shared" si="3"/>
        <v>0</v>
      </c>
      <c r="O18" s="46">
        <f>'ม.ค.65'!N18</f>
        <v>0</v>
      </c>
      <c r="P18" s="69">
        <v>14114606.66</v>
      </c>
      <c r="Q18" s="51">
        <v>127324130.58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>
        <v>4.83</v>
      </c>
      <c r="E19" s="47">
        <v>4.57</v>
      </c>
      <c r="F19" s="47">
        <v>1.61</v>
      </c>
      <c r="G19" s="47">
        <f t="shared" si="0"/>
        <v>0</v>
      </c>
      <c r="H19" s="51">
        <v>45143950.630000003</v>
      </c>
      <c r="I19" s="87">
        <v>17159667.789999999</v>
      </c>
      <c r="J19" s="47">
        <f t="shared" si="1"/>
        <v>0</v>
      </c>
      <c r="K19" s="49">
        <f t="shared" si="2"/>
        <v>3431933.5579999997</v>
      </c>
      <c r="L19" s="45">
        <f t="shared" si="5"/>
        <v>13.154086425935407</v>
      </c>
      <c r="M19" s="43">
        <f t="shared" si="4"/>
        <v>0</v>
      </c>
      <c r="N19" s="46">
        <f t="shared" si="3"/>
        <v>0</v>
      </c>
      <c r="O19" s="46">
        <f>'ม.ค.65'!N19</f>
        <v>0</v>
      </c>
      <c r="P19" s="69">
        <v>18369402.829999998</v>
      </c>
      <c r="Q19" s="51">
        <v>7226762.6799999997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>
        <v>3.43</v>
      </c>
      <c r="E20" s="54">
        <v>3.2</v>
      </c>
      <c r="F20" s="47">
        <v>2.2400000000000002</v>
      </c>
      <c r="G20" s="47">
        <f t="shared" si="0"/>
        <v>0</v>
      </c>
      <c r="H20" s="51">
        <v>17024703.010000002</v>
      </c>
      <c r="I20" s="51">
        <v>3566102.53</v>
      </c>
      <c r="J20" s="47">
        <f t="shared" si="1"/>
        <v>0</v>
      </c>
      <c r="K20" s="44">
        <f t="shared" si="2"/>
        <v>713220.50599999994</v>
      </c>
      <c r="L20" s="45">
        <f t="shared" si="5"/>
        <v>23.870181615333426</v>
      </c>
      <c r="M20" s="43">
        <f t="shared" si="4"/>
        <v>0</v>
      </c>
      <c r="N20" s="46">
        <f t="shared" si="3"/>
        <v>0</v>
      </c>
      <c r="O20" s="46">
        <f>'ม.ค.65'!N20</f>
        <v>0</v>
      </c>
      <c r="P20" s="69">
        <v>4885477.7699999996</v>
      </c>
      <c r="Q20" s="51">
        <v>8716811.9900000002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7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  <pageSetUpPr fitToPage="1"/>
  </sheetPr>
  <dimension ref="A1:AJ44"/>
  <sheetViews>
    <sheetView zoomScale="60" zoomScaleNormal="6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H16" sqref="H1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.375" style="1" customWidth="1"/>
    <col min="17" max="17" width="24.7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1" t="s">
        <v>72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P1" s="68" t="s">
        <v>53</v>
      </c>
      <c r="Q1" s="41">
        <v>44669</v>
      </c>
    </row>
    <row r="2" spans="1:25" ht="54.75" customHeight="1" thickBot="1" x14ac:dyDescent="0.3">
      <c r="C2" s="108" t="s">
        <v>41</v>
      </c>
      <c r="D2" s="112" t="s">
        <v>40</v>
      </c>
      <c r="E2" s="112"/>
      <c r="F2" s="112"/>
      <c r="G2" s="112"/>
      <c r="H2" s="113" t="s">
        <v>39</v>
      </c>
      <c r="I2" s="113"/>
      <c r="J2" s="113"/>
      <c r="K2" s="114" t="s">
        <v>38</v>
      </c>
      <c r="L2" s="114"/>
      <c r="M2" s="114"/>
      <c r="N2" s="115" t="s">
        <v>73</v>
      </c>
      <c r="O2" s="117" t="s">
        <v>74</v>
      </c>
      <c r="P2" s="117" t="s">
        <v>56</v>
      </c>
      <c r="Q2" s="118" t="s">
        <v>37</v>
      </c>
    </row>
    <row r="3" spans="1:25" ht="38.25" customHeight="1" thickBot="1" x14ac:dyDescent="0.3">
      <c r="C3" s="108"/>
      <c r="D3" s="105" t="s">
        <v>36</v>
      </c>
      <c r="E3" s="105" t="s">
        <v>35</v>
      </c>
      <c r="F3" s="105" t="s">
        <v>34</v>
      </c>
      <c r="G3" s="106" t="s">
        <v>29</v>
      </c>
      <c r="H3" s="107" t="s">
        <v>33</v>
      </c>
      <c r="I3" s="108" t="s">
        <v>32</v>
      </c>
      <c r="J3" s="109" t="s">
        <v>29</v>
      </c>
      <c r="K3" s="110" t="s">
        <v>31</v>
      </c>
      <c r="L3" s="108" t="s">
        <v>30</v>
      </c>
      <c r="M3" s="116" t="s">
        <v>29</v>
      </c>
      <c r="N3" s="115"/>
      <c r="O3" s="117"/>
      <c r="P3" s="117"/>
      <c r="Q3" s="118"/>
    </row>
    <row r="4" spans="1:25" ht="36.75" customHeight="1" thickBot="1" x14ac:dyDescent="0.3">
      <c r="C4" s="108"/>
      <c r="D4" s="105"/>
      <c r="E4" s="105"/>
      <c r="F4" s="105"/>
      <c r="G4" s="106"/>
      <c r="H4" s="107"/>
      <c r="I4" s="108"/>
      <c r="J4" s="109"/>
      <c r="K4" s="110"/>
      <c r="L4" s="108"/>
      <c r="M4" s="116"/>
      <c r="N4" s="115"/>
      <c r="O4" s="117"/>
      <c r="P4" s="117"/>
      <c r="Q4" s="11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91">
        <v>2.42</v>
      </c>
      <c r="E5" s="91">
        <v>2.21</v>
      </c>
      <c r="F5" s="42">
        <v>0.76</v>
      </c>
      <c r="G5" s="42">
        <f t="shared" ref="G5:G20" si="0">(IF(D5&lt;1.5,1,0))+(IF(E5&lt;1,1,0))+(IF(F5&lt;0.8,1,0))</f>
        <v>1</v>
      </c>
      <c r="H5" s="92">
        <v>450663487.02999997</v>
      </c>
      <c r="I5" s="92">
        <v>213836337.30000001</v>
      </c>
      <c r="J5" s="47">
        <f t="shared" ref="J5:J20" si="1">IF(I5&lt;0,1,0)+IF(H5&lt;0,1,0)</f>
        <v>0</v>
      </c>
      <c r="K5" s="49">
        <f t="shared" ref="K5:K20" si="2">SUM(I5/6)</f>
        <v>35639389.550000004</v>
      </c>
      <c r="L5" s="45">
        <f>+H5/K5</f>
        <v>12.645095573192833</v>
      </c>
      <c r="M5" s="43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46">
        <f t="shared" ref="N5:N20" si="3">SUM(G5+J5+M5)</f>
        <v>1</v>
      </c>
      <c r="O5" s="46">
        <f>'ก.พ.65'!N5</f>
        <v>1</v>
      </c>
      <c r="P5" s="69">
        <v>235031154.25</v>
      </c>
      <c r="Q5" s="62">
        <v>-76980918.620000005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91">
        <v>2.09</v>
      </c>
      <c r="E6" s="91">
        <v>2.0099999999999998</v>
      </c>
      <c r="F6" s="91">
        <v>0.98</v>
      </c>
      <c r="G6" s="61">
        <f t="shared" si="0"/>
        <v>0</v>
      </c>
      <c r="H6" s="92">
        <v>137854073.59</v>
      </c>
      <c r="I6" s="92">
        <v>93533987.75</v>
      </c>
      <c r="J6" s="61">
        <f>IF(I6&lt;0,1,0)+IF(H6&lt;0,1,0)</f>
        <v>0</v>
      </c>
      <c r="K6" s="49">
        <f t="shared" si="2"/>
        <v>15588997.958333334</v>
      </c>
      <c r="L6" s="45">
        <f>+H6/K6</f>
        <v>8.8430362207025652</v>
      </c>
      <c r="M6" s="47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0</v>
      </c>
      <c r="N6" s="46">
        <f>SUM(G6+J6+M6)</f>
        <v>0</v>
      </c>
      <c r="O6" s="46">
        <f>'ก.พ.65'!N6</f>
        <v>0</v>
      </c>
      <c r="P6" s="69">
        <v>109895443.91</v>
      </c>
      <c r="Q6" s="62">
        <v>-3159316.45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91">
        <v>3.37</v>
      </c>
      <c r="E7" s="91">
        <v>3.16</v>
      </c>
      <c r="F7" s="91">
        <v>2.09</v>
      </c>
      <c r="G7" s="47">
        <f t="shared" si="0"/>
        <v>0</v>
      </c>
      <c r="H7" s="92">
        <v>72748999.090000004</v>
      </c>
      <c r="I7" s="92">
        <v>30936249.390000001</v>
      </c>
      <c r="J7" s="47">
        <f t="shared" si="1"/>
        <v>0</v>
      </c>
      <c r="K7" s="49">
        <f t="shared" si="2"/>
        <v>5156041.5650000004</v>
      </c>
      <c r="L7" s="45">
        <f t="shared" ref="L7:L20" si="5">+H7/K7</f>
        <v>14.109467150891751</v>
      </c>
      <c r="M7" s="43">
        <f t="shared" si="4"/>
        <v>0</v>
      </c>
      <c r="N7" s="46">
        <f t="shared" si="3"/>
        <v>0</v>
      </c>
      <c r="O7" s="46">
        <f>'ก.พ.65'!N7</f>
        <v>0</v>
      </c>
      <c r="P7" s="69">
        <v>29156857.68</v>
      </c>
      <c r="Q7" s="92">
        <v>33542814.949999999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91">
        <v>9.74</v>
      </c>
      <c r="E8" s="91">
        <v>9.4499999999999993</v>
      </c>
      <c r="F8" s="91">
        <v>6.89</v>
      </c>
      <c r="G8" s="61">
        <f t="shared" si="0"/>
        <v>0</v>
      </c>
      <c r="H8" s="92">
        <v>115355286.17</v>
      </c>
      <c r="I8" s="92">
        <v>61786819.460000001</v>
      </c>
      <c r="J8" s="61">
        <f t="shared" si="1"/>
        <v>0</v>
      </c>
      <c r="K8" s="49">
        <f t="shared" si="2"/>
        <v>10297803.243333334</v>
      </c>
      <c r="L8" s="45">
        <f t="shared" si="5"/>
        <v>11.20193146481795</v>
      </c>
      <c r="M8" s="43">
        <f t="shared" si="4"/>
        <v>0</v>
      </c>
      <c r="N8" s="46">
        <f t="shared" si="3"/>
        <v>0</v>
      </c>
      <c r="O8" s="46">
        <f>'ก.พ.65'!N8</f>
        <v>0</v>
      </c>
      <c r="P8" s="69">
        <v>64057545.049999997</v>
      </c>
      <c r="Q8" s="92">
        <v>77701793.519999996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91">
        <v>4.05</v>
      </c>
      <c r="E9" s="91">
        <v>3.82</v>
      </c>
      <c r="F9" s="91">
        <v>2.46</v>
      </c>
      <c r="G9" s="47">
        <f t="shared" si="0"/>
        <v>0</v>
      </c>
      <c r="H9" s="92">
        <v>65411540.25</v>
      </c>
      <c r="I9" s="92">
        <v>23064256.329999998</v>
      </c>
      <c r="J9" s="47">
        <f t="shared" si="1"/>
        <v>0</v>
      </c>
      <c r="K9" s="49">
        <f t="shared" si="2"/>
        <v>3844042.7216666662</v>
      </c>
      <c r="L9" s="45">
        <f t="shared" si="5"/>
        <v>17.016340604466393</v>
      </c>
      <c r="M9" s="43">
        <f t="shared" si="4"/>
        <v>0</v>
      </c>
      <c r="N9" s="46">
        <f t="shared" si="3"/>
        <v>0</v>
      </c>
      <c r="O9" s="46">
        <f>'ก.พ.65'!N9</f>
        <v>0</v>
      </c>
      <c r="P9" s="69">
        <v>23004764.25</v>
      </c>
      <c r="Q9" s="92">
        <v>31330328.48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91">
        <v>1.84</v>
      </c>
      <c r="E10" s="91">
        <v>1.74</v>
      </c>
      <c r="F10" s="91">
        <v>1.22</v>
      </c>
      <c r="G10" s="47">
        <f t="shared" si="0"/>
        <v>0</v>
      </c>
      <c r="H10" s="92">
        <v>20169240.25</v>
      </c>
      <c r="I10" s="92">
        <v>7797671.7300000004</v>
      </c>
      <c r="J10" s="47">
        <f t="shared" si="1"/>
        <v>0</v>
      </c>
      <c r="K10" s="49">
        <f t="shared" si="2"/>
        <v>1299611.9550000001</v>
      </c>
      <c r="L10" s="45">
        <f t="shared" si="5"/>
        <v>15.519432683273523</v>
      </c>
      <c r="M10" s="43">
        <f t="shared" si="4"/>
        <v>0</v>
      </c>
      <c r="N10" s="46">
        <f t="shared" si="3"/>
        <v>0</v>
      </c>
      <c r="O10" s="46">
        <f>'ก.พ.65'!N10</f>
        <v>0</v>
      </c>
      <c r="P10" s="69">
        <v>9213919.4499999993</v>
      </c>
      <c r="Q10" s="92">
        <v>5237974.4800000004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91">
        <v>6.16</v>
      </c>
      <c r="E11" s="91">
        <v>5.88</v>
      </c>
      <c r="F11" s="93">
        <v>4.9000000000000004</v>
      </c>
      <c r="G11" s="47">
        <f t="shared" si="0"/>
        <v>0</v>
      </c>
      <c r="H11" s="92">
        <v>208915852.63999999</v>
      </c>
      <c r="I11" s="92">
        <v>64702718.270000003</v>
      </c>
      <c r="J11" s="47">
        <f t="shared" si="1"/>
        <v>0</v>
      </c>
      <c r="K11" s="49">
        <f t="shared" si="2"/>
        <v>10783786.378333334</v>
      </c>
      <c r="L11" s="45">
        <f t="shared" si="5"/>
        <v>19.373144581178966</v>
      </c>
      <c r="M11" s="43">
        <f t="shared" si="4"/>
        <v>0</v>
      </c>
      <c r="N11" s="46">
        <f t="shared" si="3"/>
        <v>0</v>
      </c>
      <c r="O11" s="46">
        <f>'ก.พ.65'!N11</f>
        <v>0</v>
      </c>
      <c r="P11" s="69">
        <v>101688549.63</v>
      </c>
      <c r="Q11" s="92">
        <v>157269953.40000001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93">
        <v>2.5</v>
      </c>
      <c r="E12" s="93">
        <v>2.2999999999999998</v>
      </c>
      <c r="F12" s="91">
        <v>1.36</v>
      </c>
      <c r="G12" s="47">
        <f t="shared" si="0"/>
        <v>0</v>
      </c>
      <c r="H12" s="92">
        <v>37286919.909999996</v>
      </c>
      <c r="I12" s="92">
        <v>19617047.640000001</v>
      </c>
      <c r="J12" s="47">
        <f t="shared" si="1"/>
        <v>0</v>
      </c>
      <c r="K12" s="49">
        <f t="shared" si="2"/>
        <v>3269507.94</v>
      </c>
      <c r="L12" s="45">
        <f t="shared" si="5"/>
        <v>11.40444390846165</v>
      </c>
      <c r="M12" s="43">
        <f t="shared" si="4"/>
        <v>0</v>
      </c>
      <c r="N12" s="46">
        <f t="shared" si="3"/>
        <v>0</v>
      </c>
      <c r="O12" s="46">
        <f>'ก.พ.65'!N12</f>
        <v>0</v>
      </c>
      <c r="P12" s="69">
        <v>20710571.370000001</v>
      </c>
      <c r="Q12" s="92">
        <v>8924601.6899999995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91">
        <v>4.78</v>
      </c>
      <c r="E13" s="91">
        <v>4.71</v>
      </c>
      <c r="F13" s="91">
        <v>2.2200000000000002</v>
      </c>
      <c r="G13" s="47">
        <f t="shared" si="0"/>
        <v>0</v>
      </c>
      <c r="H13" s="92">
        <v>95001613.040000007</v>
      </c>
      <c r="I13" s="92">
        <v>37290188.539999999</v>
      </c>
      <c r="J13" s="47">
        <f t="shared" si="1"/>
        <v>0</v>
      </c>
      <c r="K13" s="49">
        <f t="shared" si="2"/>
        <v>6215031.4233333329</v>
      </c>
      <c r="L13" s="45">
        <f t="shared" si="5"/>
        <v>15.285781610585552</v>
      </c>
      <c r="M13" s="43">
        <f t="shared" si="4"/>
        <v>0</v>
      </c>
      <c r="N13" s="46">
        <f t="shared" si="3"/>
        <v>0</v>
      </c>
      <c r="O13" s="46">
        <f>'ก.พ.65'!N13</f>
        <v>0</v>
      </c>
      <c r="P13" s="69">
        <v>39002121.310000002</v>
      </c>
      <c r="Q13" s="92">
        <v>30538504.539999999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91">
        <v>5.25</v>
      </c>
      <c r="E14" s="91">
        <v>5.01</v>
      </c>
      <c r="F14" s="91">
        <v>2.69</v>
      </c>
      <c r="G14" s="47">
        <f t="shared" si="0"/>
        <v>0</v>
      </c>
      <c r="H14" s="92">
        <v>74455432.480000004</v>
      </c>
      <c r="I14" s="92">
        <v>43545032.82</v>
      </c>
      <c r="J14" s="47">
        <f t="shared" si="1"/>
        <v>0</v>
      </c>
      <c r="K14" s="49">
        <f t="shared" si="2"/>
        <v>7257505.4699999997</v>
      </c>
      <c r="L14" s="45">
        <f t="shared" si="5"/>
        <v>10.259094228419508</v>
      </c>
      <c r="M14" s="43">
        <f t="shared" si="4"/>
        <v>0</v>
      </c>
      <c r="N14" s="46">
        <f t="shared" si="3"/>
        <v>0</v>
      </c>
      <c r="O14" s="46">
        <f>'ก.พ.65'!N14</f>
        <v>0</v>
      </c>
      <c r="P14" s="69">
        <v>46631205.770000003</v>
      </c>
      <c r="Q14" s="92">
        <v>29608824.07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91">
        <v>6.27</v>
      </c>
      <c r="E15" s="91">
        <v>5.93</v>
      </c>
      <c r="F15" s="93">
        <v>4.2</v>
      </c>
      <c r="G15" s="47">
        <f t="shared" si="0"/>
        <v>0</v>
      </c>
      <c r="H15" s="92">
        <v>75014305.560000002</v>
      </c>
      <c r="I15" s="92">
        <v>36388717.409999996</v>
      </c>
      <c r="J15" s="47">
        <f t="shared" si="1"/>
        <v>0</v>
      </c>
      <c r="K15" s="49">
        <f t="shared" si="2"/>
        <v>6064786.2349999994</v>
      </c>
      <c r="L15" s="45">
        <f t="shared" si="5"/>
        <v>12.368829279932569</v>
      </c>
      <c r="M15" s="43">
        <f t="shared" si="4"/>
        <v>0</v>
      </c>
      <c r="N15" s="46">
        <f t="shared" si="3"/>
        <v>0</v>
      </c>
      <c r="O15" s="46">
        <f>'ก.พ.65'!N15</f>
        <v>0</v>
      </c>
      <c r="P15" s="69">
        <v>38994079.359999999</v>
      </c>
      <c r="Q15" s="92">
        <v>45602275.509999998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91">
        <v>8.92</v>
      </c>
      <c r="E16" s="91">
        <v>8.61</v>
      </c>
      <c r="F16" s="91">
        <v>6.58</v>
      </c>
      <c r="G16" s="47">
        <f t="shared" si="0"/>
        <v>0</v>
      </c>
      <c r="H16" s="92">
        <v>187391700.90000001</v>
      </c>
      <c r="I16" s="92">
        <v>48183053.170000002</v>
      </c>
      <c r="J16" s="47">
        <f t="shared" si="1"/>
        <v>0</v>
      </c>
      <c r="K16" s="49">
        <f t="shared" si="2"/>
        <v>8030508.8616666673</v>
      </c>
      <c r="L16" s="45">
        <f t="shared" si="5"/>
        <v>23.334972182710271</v>
      </c>
      <c r="M16" s="43">
        <f t="shared" si="4"/>
        <v>0</v>
      </c>
      <c r="N16" s="46">
        <f t="shared" si="3"/>
        <v>0</v>
      </c>
      <c r="O16" s="46">
        <f>'ก.พ.65'!N16</f>
        <v>0</v>
      </c>
      <c r="P16" s="69">
        <v>36407441.899999999</v>
      </c>
      <c r="Q16" s="92">
        <v>132062666.47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93">
        <v>3.3</v>
      </c>
      <c r="E17" s="91">
        <v>3.18</v>
      </c>
      <c r="F17" s="91">
        <v>2.27</v>
      </c>
      <c r="G17" s="47">
        <f t="shared" si="0"/>
        <v>0</v>
      </c>
      <c r="H17" s="92">
        <v>22332793.039999999</v>
      </c>
      <c r="I17" s="92">
        <v>9096966.8699999992</v>
      </c>
      <c r="J17" s="47">
        <f t="shared" si="1"/>
        <v>0</v>
      </c>
      <c r="K17" s="49">
        <f t="shared" si="2"/>
        <v>1516161.1449999998</v>
      </c>
      <c r="L17" s="45">
        <f t="shared" si="5"/>
        <v>14.729828101484557</v>
      </c>
      <c r="M17" s="43">
        <f t="shared" si="4"/>
        <v>0</v>
      </c>
      <c r="N17" s="46">
        <f t="shared" si="3"/>
        <v>0</v>
      </c>
      <c r="O17" s="46">
        <f>'ก.พ.65'!N17</f>
        <v>0</v>
      </c>
      <c r="P17" s="69">
        <v>9132212.9600000009</v>
      </c>
      <c r="Q17" s="92">
        <v>12325522.380000001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91">
        <v>6.74</v>
      </c>
      <c r="E18" s="91">
        <v>6.64</v>
      </c>
      <c r="F18" s="91">
        <v>5.05</v>
      </c>
      <c r="G18" s="47">
        <f t="shared" si="0"/>
        <v>0</v>
      </c>
      <c r="H18" s="92">
        <v>180589090.11000001</v>
      </c>
      <c r="I18" s="92">
        <v>12450685.25</v>
      </c>
      <c r="J18" s="47">
        <f t="shared" si="1"/>
        <v>0</v>
      </c>
      <c r="K18" s="49">
        <f t="shared" si="2"/>
        <v>2075114.2083333333</v>
      </c>
      <c r="L18" s="45">
        <f t="shared" si="5"/>
        <v>87.026096869648214</v>
      </c>
      <c r="M18" s="43">
        <f t="shared" si="4"/>
        <v>0</v>
      </c>
      <c r="N18" s="46">
        <f t="shared" si="3"/>
        <v>0</v>
      </c>
      <c r="O18" s="46">
        <f>'ก.พ.65'!N18</f>
        <v>0</v>
      </c>
      <c r="P18" s="69">
        <v>17298372.84</v>
      </c>
      <c r="Q18" s="92">
        <v>127307267.83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91">
        <v>6.07</v>
      </c>
      <c r="E19" s="91">
        <v>5.71</v>
      </c>
      <c r="F19" s="91">
        <v>1.67</v>
      </c>
      <c r="G19" s="47">
        <f t="shared" si="0"/>
        <v>0</v>
      </c>
      <c r="H19" s="92">
        <v>43824428.020000003</v>
      </c>
      <c r="I19" s="92">
        <v>15810604.140000001</v>
      </c>
      <c r="J19" s="47">
        <f t="shared" si="1"/>
        <v>0</v>
      </c>
      <c r="K19" s="49">
        <f t="shared" si="2"/>
        <v>2635100.69</v>
      </c>
      <c r="L19" s="45">
        <f t="shared" si="5"/>
        <v>16.631025974191523</v>
      </c>
      <c r="M19" s="43">
        <f t="shared" si="4"/>
        <v>0</v>
      </c>
      <c r="N19" s="46">
        <f t="shared" si="3"/>
        <v>0</v>
      </c>
      <c r="O19" s="46">
        <f>'ก.พ.65'!N19</f>
        <v>0</v>
      </c>
      <c r="P19" s="69">
        <v>17382914.030000001</v>
      </c>
      <c r="Q19" s="92">
        <v>5634940.6399999997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91">
        <v>3.48</v>
      </c>
      <c r="E20" s="91">
        <v>3.23</v>
      </c>
      <c r="F20" s="91">
        <v>2.06</v>
      </c>
      <c r="G20" s="47">
        <f t="shared" si="0"/>
        <v>0</v>
      </c>
      <c r="H20" s="92">
        <v>18146345.949999999</v>
      </c>
      <c r="I20" s="92">
        <v>3959459.09</v>
      </c>
      <c r="J20" s="47">
        <f t="shared" si="1"/>
        <v>0</v>
      </c>
      <c r="K20" s="44">
        <f t="shared" si="2"/>
        <v>659909.84833333327</v>
      </c>
      <c r="L20" s="45">
        <f t="shared" si="5"/>
        <v>27.49821963686459</v>
      </c>
      <c r="M20" s="43">
        <f t="shared" si="4"/>
        <v>0</v>
      </c>
      <c r="N20" s="46">
        <f t="shared" si="3"/>
        <v>0</v>
      </c>
      <c r="O20" s="46">
        <f>'ก.พ.65'!N20</f>
        <v>0</v>
      </c>
      <c r="P20" s="69">
        <v>5681232.5</v>
      </c>
      <c r="Q20" s="92">
        <v>7717076.2800000003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Q1" sqref="Q1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6.625" style="1" customWidth="1"/>
    <col min="16" max="16" width="20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1" t="s">
        <v>77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P1" s="68" t="s">
        <v>53</v>
      </c>
      <c r="Q1" s="41">
        <v>44698</v>
      </c>
    </row>
    <row r="2" spans="1:25" ht="54.75" customHeight="1" thickBot="1" x14ac:dyDescent="0.3">
      <c r="C2" s="108" t="s">
        <v>41</v>
      </c>
      <c r="D2" s="112" t="s">
        <v>40</v>
      </c>
      <c r="E2" s="112"/>
      <c r="F2" s="112"/>
      <c r="G2" s="112"/>
      <c r="H2" s="113" t="s">
        <v>39</v>
      </c>
      <c r="I2" s="113"/>
      <c r="J2" s="113"/>
      <c r="K2" s="114" t="s">
        <v>38</v>
      </c>
      <c r="L2" s="114"/>
      <c r="M2" s="114"/>
      <c r="N2" s="115" t="s">
        <v>75</v>
      </c>
      <c r="O2" s="117" t="s">
        <v>76</v>
      </c>
      <c r="P2" s="117" t="s">
        <v>56</v>
      </c>
      <c r="Q2" s="118" t="s">
        <v>37</v>
      </c>
    </row>
    <row r="3" spans="1:25" ht="38.25" customHeight="1" thickBot="1" x14ac:dyDescent="0.3">
      <c r="C3" s="108"/>
      <c r="D3" s="105" t="s">
        <v>36</v>
      </c>
      <c r="E3" s="105" t="s">
        <v>35</v>
      </c>
      <c r="F3" s="105" t="s">
        <v>34</v>
      </c>
      <c r="G3" s="106" t="s">
        <v>29</v>
      </c>
      <c r="H3" s="107" t="s">
        <v>33</v>
      </c>
      <c r="I3" s="108" t="s">
        <v>32</v>
      </c>
      <c r="J3" s="109" t="s">
        <v>29</v>
      </c>
      <c r="K3" s="110" t="s">
        <v>31</v>
      </c>
      <c r="L3" s="108" t="s">
        <v>30</v>
      </c>
      <c r="M3" s="116" t="s">
        <v>29</v>
      </c>
      <c r="N3" s="115"/>
      <c r="O3" s="117"/>
      <c r="P3" s="117"/>
      <c r="Q3" s="118"/>
    </row>
    <row r="4" spans="1:25" ht="36.75" customHeight="1" thickBot="1" x14ac:dyDescent="0.3">
      <c r="C4" s="108"/>
      <c r="D4" s="105"/>
      <c r="E4" s="105"/>
      <c r="F4" s="105"/>
      <c r="G4" s="106"/>
      <c r="H4" s="107"/>
      <c r="I4" s="108"/>
      <c r="J4" s="109"/>
      <c r="K4" s="110"/>
      <c r="L4" s="108"/>
      <c r="M4" s="116"/>
      <c r="N4" s="115"/>
      <c r="O4" s="117"/>
      <c r="P4" s="117"/>
      <c r="Q4" s="11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91">
        <v>2.92</v>
      </c>
      <c r="E5" s="91">
        <v>2.61</v>
      </c>
      <c r="F5" s="93">
        <v>1.2</v>
      </c>
      <c r="G5" s="47">
        <f t="shared" ref="G5:G20" si="0">(IF(D5&lt;1.5,1,0))+(IF(E5&lt;1,1,0))+(IF(F5&lt;0.8,1,0))</f>
        <v>0</v>
      </c>
      <c r="H5" s="92">
        <v>451550825.08999997</v>
      </c>
      <c r="I5" s="92">
        <v>212403828.84</v>
      </c>
      <c r="J5" s="47">
        <f t="shared" ref="J5:J20" si="1">IF(I5&lt;0,1,0)+IF(H5&lt;0,1,0)</f>
        <v>0</v>
      </c>
      <c r="K5" s="49">
        <f>SUM(I5/7)</f>
        <v>30343404.120000001</v>
      </c>
      <c r="L5" s="45">
        <f>+H5/K5</f>
        <v>14.881350269872092</v>
      </c>
      <c r="M5" s="47">
        <f>IF(AND(I5&lt;0,H5&lt;0),2,IF(AND(I5&gt;0,H5&gt;0),0,IF(AND(H5&lt;0,I5&gt;0),IF(ABS((H5/(I5/7)))&lt;3,0,IF(ABS((H5/(I5/7)))&gt;6,2,1)),IF(AND(H5&gt;0,I5&lt;0),IF(ABS((H5/(I5/7)))&lt;3,2,IF(ABS((H5/(I5/7)))&gt;6,0,1))))))</f>
        <v>0</v>
      </c>
      <c r="N5" s="46">
        <f t="shared" ref="N5:N20" si="2">SUM(G5+J5+M5)</f>
        <v>0</v>
      </c>
      <c r="O5" s="46">
        <f>'มี.ค.65'!N5</f>
        <v>1</v>
      </c>
      <c r="P5" s="69">
        <v>241241961.62</v>
      </c>
      <c r="Q5" s="92">
        <v>47859978.359999999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93">
        <v>2.1</v>
      </c>
      <c r="E6" s="93">
        <v>2</v>
      </c>
      <c r="F6" s="91">
        <v>1.1399999999999999</v>
      </c>
      <c r="G6" s="61">
        <f t="shared" si="0"/>
        <v>0</v>
      </c>
      <c r="H6" s="92">
        <v>141413585.71000001</v>
      </c>
      <c r="I6" s="92">
        <v>93397740.269999996</v>
      </c>
      <c r="J6" s="61">
        <f>IF(I6&lt;0,1,0)+IF(H6&lt;0,1,0)</f>
        <v>0</v>
      </c>
      <c r="K6" s="49">
        <f>SUM(I6/7)</f>
        <v>13342534.324285714</v>
      </c>
      <c r="L6" s="45">
        <f>+H6/K6</f>
        <v>10.598705034065597</v>
      </c>
      <c r="M6" s="47">
        <f t="shared" ref="M6:M20" si="3">IF(AND(I6&lt;0,H6&lt;0),2,IF(AND(I6&gt;0,H6&gt;0),0,IF(AND(H6&lt;0,I6&gt;0),IF(ABS((H6/(I6/7)))&lt;3,0,IF(ABS((H6/(I6/7)))&gt;6,2,1)),IF(AND(H6&gt;0,I6&lt;0),IF(ABS((H6/(I6/7)))&lt;3,2,IF(ABS((H6/(I6/7)))&gt;6,0,1))))))</f>
        <v>0</v>
      </c>
      <c r="N6" s="46">
        <f>SUM(G6+J6+M6)</f>
        <v>0</v>
      </c>
      <c r="O6" s="46">
        <f>'มี.ค.65'!N6</f>
        <v>0</v>
      </c>
      <c r="P6" s="69">
        <v>113818616.87</v>
      </c>
      <c r="Q6" s="92">
        <v>17638916.129999999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91">
        <v>3.51</v>
      </c>
      <c r="E7" s="93">
        <v>3.3</v>
      </c>
      <c r="F7" s="91">
        <v>2.08</v>
      </c>
      <c r="G7" s="47">
        <f t="shared" si="0"/>
        <v>0</v>
      </c>
      <c r="H7" s="92">
        <v>78851014.189999998</v>
      </c>
      <c r="I7" s="92">
        <v>37132070.840000004</v>
      </c>
      <c r="J7" s="47">
        <f t="shared" si="1"/>
        <v>0</v>
      </c>
      <c r="K7" s="49">
        <f>SUM(I7/7)</f>
        <v>5304581.5485714292</v>
      </c>
      <c r="L7" s="45">
        <f t="shared" ref="L7:L20" si="4">+H7/K7</f>
        <v>14.864700159286885</v>
      </c>
      <c r="M7" s="47">
        <f t="shared" si="3"/>
        <v>0</v>
      </c>
      <c r="N7" s="46">
        <f t="shared" si="2"/>
        <v>0</v>
      </c>
      <c r="O7" s="46">
        <f>'มี.ค.65'!N7</f>
        <v>0</v>
      </c>
      <c r="P7" s="69">
        <v>35623132.939999998</v>
      </c>
      <c r="Q7" s="92">
        <v>34026416.469999999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91">
        <v>12.02</v>
      </c>
      <c r="E8" s="91">
        <v>11.78</v>
      </c>
      <c r="F8" s="91">
        <v>7.67</v>
      </c>
      <c r="G8" s="61">
        <f t="shared" si="0"/>
        <v>0</v>
      </c>
      <c r="H8" s="92">
        <v>154235768.68000001</v>
      </c>
      <c r="I8" s="92">
        <v>99014827.939999998</v>
      </c>
      <c r="J8" s="61">
        <f t="shared" si="1"/>
        <v>0</v>
      </c>
      <c r="K8" s="49">
        <f t="shared" ref="K8:K19" si="5">SUM(I8/7)</f>
        <v>14144975.42</v>
      </c>
      <c r="L8" s="45">
        <f t="shared" si="4"/>
        <v>10.903926242382965</v>
      </c>
      <c r="M8" s="47">
        <f t="shared" si="3"/>
        <v>0</v>
      </c>
      <c r="N8" s="46">
        <f t="shared" si="2"/>
        <v>0</v>
      </c>
      <c r="O8" s="46">
        <f>'มี.ค.65'!N8</f>
        <v>0</v>
      </c>
      <c r="P8" s="69">
        <v>102640992.34</v>
      </c>
      <c r="Q8" s="92">
        <v>93353484.879999995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91">
        <v>4.0599999999999996</v>
      </c>
      <c r="E9" s="91">
        <v>3.84</v>
      </c>
      <c r="F9" s="91">
        <v>2.38</v>
      </c>
      <c r="G9" s="47">
        <f t="shared" si="0"/>
        <v>0</v>
      </c>
      <c r="H9" s="92">
        <v>71992194.849999994</v>
      </c>
      <c r="I9" s="92">
        <v>29087941.489999998</v>
      </c>
      <c r="J9" s="47">
        <f t="shared" si="1"/>
        <v>0</v>
      </c>
      <c r="K9" s="49">
        <f t="shared" si="5"/>
        <v>4155420.2128571426</v>
      </c>
      <c r="L9" s="45">
        <f t="shared" si="4"/>
        <v>17.324889219928089</v>
      </c>
      <c r="M9" s="47">
        <f t="shared" si="3"/>
        <v>0</v>
      </c>
      <c r="N9" s="46">
        <f t="shared" si="2"/>
        <v>0</v>
      </c>
      <c r="O9" s="46">
        <f>'มี.ค.65'!N9</f>
        <v>0</v>
      </c>
      <c r="P9" s="69">
        <v>29655985.350000001</v>
      </c>
      <c r="Q9" s="92">
        <v>32488007.41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91">
        <v>1.89</v>
      </c>
      <c r="E10" s="93">
        <v>1.8</v>
      </c>
      <c r="F10" s="91">
        <v>1.22</v>
      </c>
      <c r="G10" s="47">
        <f t="shared" si="0"/>
        <v>0</v>
      </c>
      <c r="H10" s="92">
        <v>22155643.609999999</v>
      </c>
      <c r="I10" s="92">
        <v>9627123.1699999999</v>
      </c>
      <c r="J10" s="47">
        <f t="shared" si="1"/>
        <v>0</v>
      </c>
      <c r="K10" s="49">
        <f t="shared" si="5"/>
        <v>1375303.31</v>
      </c>
      <c r="L10" s="45">
        <f t="shared" si="4"/>
        <v>16.109641741500642</v>
      </c>
      <c r="M10" s="47">
        <f t="shared" si="3"/>
        <v>0</v>
      </c>
      <c r="N10" s="46">
        <f t="shared" si="2"/>
        <v>0</v>
      </c>
      <c r="O10" s="46">
        <f>'มี.ค.65'!N10</f>
        <v>0</v>
      </c>
      <c r="P10" s="69">
        <v>11343356.02</v>
      </c>
      <c r="Q10" s="92">
        <v>5340520.5999999996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91">
        <v>6.58</v>
      </c>
      <c r="E11" s="91">
        <v>6.31</v>
      </c>
      <c r="F11" s="91">
        <v>5.45</v>
      </c>
      <c r="G11" s="47">
        <f t="shared" si="0"/>
        <v>0</v>
      </c>
      <c r="H11" s="92">
        <v>219770873.33000001</v>
      </c>
      <c r="I11" s="92">
        <v>66686143.229999997</v>
      </c>
      <c r="J11" s="47">
        <f t="shared" si="1"/>
        <v>0</v>
      </c>
      <c r="K11" s="49">
        <f t="shared" si="5"/>
        <v>9526591.8899999987</v>
      </c>
      <c r="L11" s="45">
        <f t="shared" si="4"/>
        <v>23.069202068023095</v>
      </c>
      <c r="M11" s="47">
        <f t="shared" si="3"/>
        <v>0</v>
      </c>
      <c r="N11" s="46">
        <f t="shared" si="2"/>
        <v>0</v>
      </c>
      <c r="O11" s="46">
        <f>'มี.ค.65'!N11</f>
        <v>0</v>
      </c>
      <c r="P11" s="69">
        <v>115347318.67</v>
      </c>
      <c r="Q11" s="92">
        <v>175012696.84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91">
        <v>2.15</v>
      </c>
      <c r="E12" s="91">
        <v>1.95</v>
      </c>
      <c r="F12" s="91">
        <v>1.23</v>
      </c>
      <c r="G12" s="47">
        <f t="shared" si="0"/>
        <v>0</v>
      </c>
      <c r="H12" s="92">
        <v>31890850.879999999</v>
      </c>
      <c r="I12" s="92">
        <v>18444588.260000002</v>
      </c>
      <c r="J12" s="47">
        <f t="shared" si="1"/>
        <v>0</v>
      </c>
      <c r="K12" s="49">
        <f t="shared" si="5"/>
        <v>2634941.1800000002</v>
      </c>
      <c r="L12" s="45">
        <f t="shared" si="4"/>
        <v>12.103059879310095</v>
      </c>
      <c r="M12" s="47">
        <f t="shared" si="3"/>
        <v>0</v>
      </c>
      <c r="N12" s="46">
        <f t="shared" si="2"/>
        <v>0</v>
      </c>
      <c r="O12" s="46">
        <f>'มี.ค.65'!N12</f>
        <v>0</v>
      </c>
      <c r="P12" s="69">
        <v>19841562.25</v>
      </c>
      <c r="Q12" s="92">
        <v>5996207.7400000002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91">
        <v>4.47</v>
      </c>
      <c r="E13" s="91">
        <v>4.3899999999999997</v>
      </c>
      <c r="F13" s="91">
        <v>2.73</v>
      </c>
      <c r="G13" s="47">
        <f t="shared" si="0"/>
        <v>0</v>
      </c>
      <c r="H13" s="92">
        <v>88711774.980000004</v>
      </c>
      <c r="I13" s="92">
        <v>34951154.100000001</v>
      </c>
      <c r="J13" s="47">
        <f t="shared" si="1"/>
        <v>0</v>
      </c>
      <c r="K13" s="49">
        <f t="shared" si="5"/>
        <v>4993022.0142857144</v>
      </c>
      <c r="L13" s="45">
        <f t="shared" si="4"/>
        <v>17.767150780866491</v>
      </c>
      <c r="M13" s="47">
        <f t="shared" si="3"/>
        <v>0</v>
      </c>
      <c r="N13" s="46">
        <f t="shared" si="2"/>
        <v>0</v>
      </c>
      <c r="O13" s="46">
        <f>'มี.ค.65'!N13</f>
        <v>0</v>
      </c>
      <c r="P13" s="69">
        <v>37106138.030000001</v>
      </c>
      <c r="Q13" s="92">
        <v>44065669.350000001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91">
        <v>5.22</v>
      </c>
      <c r="E14" s="93">
        <v>5</v>
      </c>
      <c r="F14" s="91">
        <v>2.91</v>
      </c>
      <c r="G14" s="47">
        <f t="shared" si="0"/>
        <v>0</v>
      </c>
      <c r="H14" s="92">
        <v>80100143.620000005</v>
      </c>
      <c r="I14" s="92">
        <v>48678286.880000003</v>
      </c>
      <c r="J14" s="47">
        <f t="shared" si="1"/>
        <v>0</v>
      </c>
      <c r="K14" s="49">
        <f t="shared" si="5"/>
        <v>6954040.9828571435</v>
      </c>
      <c r="L14" s="45">
        <f t="shared" si="4"/>
        <v>11.518503244007341</v>
      </c>
      <c r="M14" s="47">
        <f t="shared" si="3"/>
        <v>0</v>
      </c>
      <c r="N14" s="46">
        <f t="shared" si="2"/>
        <v>0</v>
      </c>
      <c r="O14" s="46">
        <f>'มี.ค.65'!N14</f>
        <v>0</v>
      </c>
      <c r="P14" s="69">
        <v>52433132.909999996</v>
      </c>
      <c r="Q14" s="92">
        <v>36235787.920000002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91">
        <v>6.59</v>
      </c>
      <c r="E15" s="91">
        <v>6.27</v>
      </c>
      <c r="F15" s="91">
        <v>4.2699999999999996</v>
      </c>
      <c r="G15" s="47">
        <f t="shared" si="0"/>
        <v>0</v>
      </c>
      <c r="H15" s="92">
        <v>81868959.810000002</v>
      </c>
      <c r="I15" s="92">
        <v>42899853.369999997</v>
      </c>
      <c r="J15" s="47">
        <f t="shared" si="1"/>
        <v>0</v>
      </c>
      <c r="K15" s="49">
        <f t="shared" si="5"/>
        <v>6128550.481428571</v>
      </c>
      <c r="L15" s="45">
        <f t="shared" si="4"/>
        <v>13.35861718983773</v>
      </c>
      <c r="M15" s="47">
        <f t="shared" si="3"/>
        <v>0</v>
      </c>
      <c r="N15" s="46">
        <f t="shared" si="2"/>
        <v>0</v>
      </c>
      <c r="O15" s="46">
        <f>'มี.ค.65'!N15</f>
        <v>0</v>
      </c>
      <c r="P15" s="69">
        <v>46052908.649999999</v>
      </c>
      <c r="Q15" s="92">
        <v>47843252.090000004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91">
        <v>9.4700000000000006</v>
      </c>
      <c r="E16" s="91">
        <v>9.11</v>
      </c>
      <c r="F16" s="91">
        <v>7.49</v>
      </c>
      <c r="G16" s="47">
        <f t="shared" si="0"/>
        <v>0</v>
      </c>
      <c r="H16" s="92">
        <v>190574988.71000001</v>
      </c>
      <c r="I16" s="92">
        <v>50920136.140000001</v>
      </c>
      <c r="J16" s="47">
        <f t="shared" si="1"/>
        <v>0</v>
      </c>
      <c r="K16" s="49">
        <f t="shared" si="5"/>
        <v>7274305.1628571432</v>
      </c>
      <c r="L16" s="45">
        <f t="shared" si="4"/>
        <v>26.198376950568772</v>
      </c>
      <c r="M16" s="47">
        <f t="shared" si="3"/>
        <v>0</v>
      </c>
      <c r="N16" s="46">
        <f t="shared" si="2"/>
        <v>0</v>
      </c>
      <c r="O16" s="46">
        <f>'มี.ค.65'!N16</f>
        <v>0</v>
      </c>
      <c r="P16" s="69">
        <v>40418509.390000001</v>
      </c>
      <c r="Q16" s="92">
        <v>146076508.72999999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91">
        <v>3.52</v>
      </c>
      <c r="E17" s="91">
        <v>3.43</v>
      </c>
      <c r="F17" s="91">
        <v>2.4900000000000002</v>
      </c>
      <c r="G17" s="47">
        <f t="shared" si="0"/>
        <v>0</v>
      </c>
      <c r="H17" s="92">
        <v>26178355.960000001</v>
      </c>
      <c r="I17" s="92">
        <v>12758908.92</v>
      </c>
      <c r="J17" s="47">
        <f t="shared" si="1"/>
        <v>0</v>
      </c>
      <c r="K17" s="49">
        <f t="shared" si="5"/>
        <v>1822701.2742857144</v>
      </c>
      <c r="L17" s="45">
        <f t="shared" si="4"/>
        <v>14.362395160040064</v>
      </c>
      <c r="M17" s="47">
        <f t="shared" si="3"/>
        <v>0</v>
      </c>
      <c r="N17" s="46">
        <f t="shared" si="2"/>
        <v>0</v>
      </c>
      <c r="O17" s="46">
        <f>'มี.ค.65'!N17</f>
        <v>0</v>
      </c>
      <c r="P17" s="69">
        <v>13052211.57</v>
      </c>
      <c r="Q17" s="92">
        <v>15458676.18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91">
        <v>6.79</v>
      </c>
      <c r="E18" s="91">
        <v>6.69</v>
      </c>
      <c r="F18" s="91">
        <v>5.45</v>
      </c>
      <c r="G18" s="47">
        <f t="shared" si="0"/>
        <v>0</v>
      </c>
      <c r="H18" s="92">
        <v>185126629.63</v>
      </c>
      <c r="I18" s="92">
        <v>16822221.719999999</v>
      </c>
      <c r="J18" s="47">
        <f t="shared" si="1"/>
        <v>0</v>
      </c>
      <c r="K18" s="49">
        <f t="shared" si="5"/>
        <v>2403174.5314285713</v>
      </c>
      <c r="L18" s="45">
        <f t="shared" si="4"/>
        <v>77.034200890915372</v>
      </c>
      <c r="M18" s="47">
        <f t="shared" si="3"/>
        <v>0</v>
      </c>
      <c r="N18" s="46">
        <f t="shared" si="2"/>
        <v>0</v>
      </c>
      <c r="O18" s="46">
        <f>'มี.ค.65'!N18</f>
        <v>0</v>
      </c>
      <c r="P18" s="69">
        <v>21725570.43</v>
      </c>
      <c r="Q18" s="92">
        <v>142389026.78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91">
        <v>5.99</v>
      </c>
      <c r="E19" s="91">
        <v>5.68</v>
      </c>
      <c r="F19" s="91">
        <v>1.91</v>
      </c>
      <c r="G19" s="47">
        <f t="shared" si="0"/>
        <v>0</v>
      </c>
      <c r="H19" s="92">
        <v>48324160.880000003</v>
      </c>
      <c r="I19" s="92">
        <v>22430711.460000001</v>
      </c>
      <c r="J19" s="47">
        <f t="shared" si="1"/>
        <v>0</v>
      </c>
      <c r="K19" s="49">
        <f t="shared" si="5"/>
        <v>3204387.3514285716</v>
      </c>
      <c r="L19" s="45">
        <f t="shared" si="4"/>
        <v>15.080624025823923</v>
      </c>
      <c r="M19" s="47">
        <f t="shared" si="3"/>
        <v>0</v>
      </c>
      <c r="N19" s="46">
        <f t="shared" si="2"/>
        <v>0</v>
      </c>
      <c r="O19" s="46">
        <f>'มี.ค.65'!N19</f>
        <v>0</v>
      </c>
      <c r="P19" s="69">
        <v>24365596.199999999</v>
      </c>
      <c r="Q19" s="92">
        <v>8413453.3699999992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91">
        <v>3.32</v>
      </c>
      <c r="E20" s="91">
        <v>3.08</v>
      </c>
      <c r="F20" s="91">
        <v>1.85</v>
      </c>
      <c r="G20" s="47">
        <f t="shared" si="0"/>
        <v>0</v>
      </c>
      <c r="H20" s="92">
        <v>18706827.609999999</v>
      </c>
      <c r="I20" s="92">
        <v>4678508.2699999996</v>
      </c>
      <c r="J20" s="47">
        <f t="shared" si="1"/>
        <v>0</v>
      </c>
      <c r="K20" s="49">
        <f>SUM(I20/7)</f>
        <v>668358.32428571419</v>
      </c>
      <c r="L20" s="45">
        <f t="shared" si="4"/>
        <v>27.989219151257377</v>
      </c>
      <c r="M20" s="47">
        <f t="shared" si="3"/>
        <v>0</v>
      </c>
      <c r="N20" s="46">
        <f t="shared" si="2"/>
        <v>0</v>
      </c>
      <c r="O20" s="46">
        <f>'มี.ค.65'!N20</f>
        <v>0</v>
      </c>
      <c r="P20" s="69">
        <v>6813273.79</v>
      </c>
      <c r="Q20" s="92">
        <v>6892310.8099999996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12" sqref="P12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1" t="s">
        <v>77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P1" s="68" t="s">
        <v>53</v>
      </c>
      <c r="Q1" s="65">
        <v>243053</v>
      </c>
    </row>
    <row r="2" spans="1:25" ht="54.75" customHeight="1" thickBot="1" x14ac:dyDescent="0.3">
      <c r="C2" s="108" t="s">
        <v>41</v>
      </c>
      <c r="D2" s="112" t="s">
        <v>40</v>
      </c>
      <c r="E2" s="112"/>
      <c r="F2" s="112"/>
      <c r="G2" s="112"/>
      <c r="H2" s="113" t="s">
        <v>39</v>
      </c>
      <c r="I2" s="113"/>
      <c r="J2" s="113"/>
      <c r="K2" s="114" t="s">
        <v>38</v>
      </c>
      <c r="L2" s="114"/>
      <c r="M2" s="114"/>
      <c r="N2" s="115" t="s">
        <v>78</v>
      </c>
      <c r="O2" s="117" t="s">
        <v>79</v>
      </c>
      <c r="P2" s="117" t="s">
        <v>56</v>
      </c>
      <c r="Q2" s="118" t="s">
        <v>37</v>
      </c>
    </row>
    <row r="3" spans="1:25" ht="38.25" customHeight="1" thickBot="1" x14ac:dyDescent="0.3">
      <c r="C3" s="108"/>
      <c r="D3" s="105" t="s">
        <v>36</v>
      </c>
      <c r="E3" s="105" t="s">
        <v>35</v>
      </c>
      <c r="F3" s="105" t="s">
        <v>34</v>
      </c>
      <c r="G3" s="106" t="s">
        <v>29</v>
      </c>
      <c r="H3" s="107" t="s">
        <v>33</v>
      </c>
      <c r="I3" s="108" t="s">
        <v>32</v>
      </c>
      <c r="J3" s="109" t="s">
        <v>29</v>
      </c>
      <c r="K3" s="110" t="s">
        <v>31</v>
      </c>
      <c r="L3" s="108" t="s">
        <v>30</v>
      </c>
      <c r="M3" s="116" t="s">
        <v>29</v>
      </c>
      <c r="N3" s="115"/>
      <c r="O3" s="117"/>
      <c r="P3" s="117"/>
      <c r="Q3" s="118"/>
    </row>
    <row r="4" spans="1:25" ht="36.75" customHeight="1" thickBot="1" x14ac:dyDescent="0.3">
      <c r="C4" s="108"/>
      <c r="D4" s="105"/>
      <c r="E4" s="105"/>
      <c r="F4" s="105"/>
      <c r="G4" s="106"/>
      <c r="H4" s="107"/>
      <c r="I4" s="108"/>
      <c r="J4" s="109"/>
      <c r="K4" s="110"/>
      <c r="L4" s="108"/>
      <c r="M4" s="116"/>
      <c r="N4" s="115"/>
      <c r="O4" s="117"/>
      <c r="P4" s="117"/>
      <c r="Q4" s="11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91">
        <v>3.24</v>
      </c>
      <c r="E5" s="91">
        <v>2.93</v>
      </c>
      <c r="F5" s="93">
        <v>1.1000000000000001</v>
      </c>
      <c r="G5" s="47">
        <f t="shared" ref="G5:G20" si="0">(IF(D5&lt;1.5,1,0))+(IF(E5&lt;1,1,0))+(IF(F5&lt;0.8,1,0))</f>
        <v>0</v>
      </c>
      <c r="H5" s="92">
        <v>457239919.12</v>
      </c>
      <c r="I5" s="92">
        <v>214488930.25999999</v>
      </c>
      <c r="J5" s="47">
        <f t="shared" ref="J5:J20" si="1">IF(I5&lt;0,1,0)+IF(H5&lt;0,1,0)</f>
        <v>0</v>
      </c>
      <c r="K5" s="49">
        <f>SUM(I5/8)</f>
        <v>26811116.282499999</v>
      </c>
      <c r="L5" s="45">
        <f>+H5/K5</f>
        <v>17.054117191623501</v>
      </c>
      <c r="M5" s="43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46">
        <f t="shared" ref="N5:N20" si="2">SUM(G5+J5+M5)</f>
        <v>0</v>
      </c>
      <c r="O5" s="46">
        <f>'เม.ย.65'!N5</f>
        <v>0</v>
      </c>
      <c r="P5" s="69">
        <v>250391591.63</v>
      </c>
      <c r="Q5" s="92">
        <v>20468380.140000001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91">
        <v>2.08</v>
      </c>
      <c r="E6" s="91">
        <v>1.99</v>
      </c>
      <c r="F6" s="91">
        <v>1.1200000000000001</v>
      </c>
      <c r="G6" s="61">
        <f t="shared" si="0"/>
        <v>0</v>
      </c>
      <c r="H6" s="92">
        <v>146511851.21000001</v>
      </c>
      <c r="I6" s="92">
        <v>94980827.530000001</v>
      </c>
      <c r="J6" s="61">
        <f>IF(I6&lt;0,1,0)+IF(H6&lt;0,1,0)</f>
        <v>0</v>
      </c>
      <c r="K6" s="49">
        <f t="shared" ref="K6:K20" si="3">SUM(I6/8)</f>
        <v>11872603.44125</v>
      </c>
      <c r="L6" s="45">
        <f>+H6/K6</f>
        <v>12.340330571554455</v>
      </c>
      <c r="M6" s="47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0</v>
      </c>
      <c r="N6" s="46">
        <f>SUM(G6+J6+M6)</f>
        <v>0</v>
      </c>
      <c r="O6" s="46">
        <f>'เม.ย.65'!N6</f>
        <v>0</v>
      </c>
      <c r="P6" s="69">
        <v>119575796.48</v>
      </c>
      <c r="Q6" s="92">
        <v>16694212.23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91">
        <v>3.43</v>
      </c>
      <c r="E7" s="91">
        <v>3.21</v>
      </c>
      <c r="F7" s="91">
        <v>2.14</v>
      </c>
      <c r="G7" s="47">
        <f t="shared" si="0"/>
        <v>0</v>
      </c>
      <c r="H7" s="92">
        <v>78500293.579999998</v>
      </c>
      <c r="I7" s="92">
        <v>36652599.659999996</v>
      </c>
      <c r="J7" s="47">
        <f t="shared" si="1"/>
        <v>0</v>
      </c>
      <c r="K7" s="49">
        <f t="shared" si="3"/>
        <v>4581574.9574999996</v>
      </c>
      <c r="L7" s="45">
        <f t="shared" ref="L7:L20" si="5">+H7/K7</f>
        <v>17.133910130946493</v>
      </c>
      <c r="M7" s="43">
        <f t="shared" si="4"/>
        <v>0</v>
      </c>
      <c r="N7" s="46">
        <f t="shared" si="2"/>
        <v>0</v>
      </c>
      <c r="O7" s="46">
        <f>'เม.ย.65'!N7</f>
        <v>0</v>
      </c>
      <c r="P7" s="69">
        <v>35414115.57</v>
      </c>
      <c r="Q7" s="92">
        <v>36862519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91">
        <v>13.32</v>
      </c>
      <c r="E8" s="91">
        <v>13.06</v>
      </c>
      <c r="F8" s="91">
        <v>8.2799999999999994</v>
      </c>
      <c r="G8" s="61">
        <f t="shared" si="0"/>
        <v>0</v>
      </c>
      <c r="H8" s="92">
        <v>166562776.44999999</v>
      </c>
      <c r="I8" s="92">
        <v>107977451.33</v>
      </c>
      <c r="J8" s="61">
        <f t="shared" si="1"/>
        <v>0</v>
      </c>
      <c r="K8" s="49">
        <f t="shared" si="3"/>
        <v>13497181.41625</v>
      </c>
      <c r="L8" s="45">
        <f t="shared" si="5"/>
        <v>12.340559951981225</v>
      </c>
      <c r="M8" s="43">
        <f t="shared" si="4"/>
        <v>0</v>
      </c>
      <c r="N8" s="46">
        <f t="shared" si="2"/>
        <v>0</v>
      </c>
      <c r="O8" s="46">
        <f>'เม.ย.65'!N8</f>
        <v>0</v>
      </c>
      <c r="P8" s="69">
        <v>112253960.09999999</v>
      </c>
      <c r="Q8" s="92">
        <v>98433490.75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91">
        <v>4.43</v>
      </c>
      <c r="E9" s="91">
        <v>4.1900000000000004</v>
      </c>
      <c r="F9" s="91">
        <v>2.4700000000000002</v>
      </c>
      <c r="G9" s="47">
        <f t="shared" si="0"/>
        <v>0</v>
      </c>
      <c r="H9" s="92">
        <v>72490642.090000004</v>
      </c>
      <c r="I9" s="92">
        <v>28970762.789999999</v>
      </c>
      <c r="J9" s="47">
        <f t="shared" si="1"/>
        <v>0</v>
      </c>
      <c r="K9" s="49">
        <f t="shared" si="3"/>
        <v>3621345.3487499999</v>
      </c>
      <c r="L9" s="45">
        <f t="shared" si="5"/>
        <v>20.017599844494811</v>
      </c>
      <c r="M9" s="43">
        <f t="shared" si="4"/>
        <v>0</v>
      </c>
      <c r="N9" s="46">
        <f t="shared" si="2"/>
        <v>0</v>
      </c>
      <c r="O9" s="46">
        <f>'เม.ย.65'!N9</f>
        <v>0</v>
      </c>
      <c r="P9" s="69">
        <v>30166342.59</v>
      </c>
      <c r="Q9" s="92">
        <v>31082622.559999999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91">
        <v>2.2400000000000002</v>
      </c>
      <c r="E10" s="91">
        <v>2.12</v>
      </c>
      <c r="F10" s="91">
        <v>1.33</v>
      </c>
      <c r="G10" s="47">
        <f t="shared" si="0"/>
        <v>0</v>
      </c>
      <c r="H10" s="92">
        <v>24634414.120000001</v>
      </c>
      <c r="I10" s="92">
        <v>10560535.289999999</v>
      </c>
      <c r="J10" s="47">
        <f t="shared" si="1"/>
        <v>0</v>
      </c>
      <c r="K10" s="49">
        <f t="shared" si="3"/>
        <v>1320066.9112499999</v>
      </c>
      <c r="L10" s="45">
        <f t="shared" si="5"/>
        <v>18.661488982155564</v>
      </c>
      <c r="M10" s="43">
        <f t="shared" si="4"/>
        <v>0</v>
      </c>
      <c r="N10" s="46">
        <f t="shared" si="2"/>
        <v>0</v>
      </c>
      <c r="O10" s="46">
        <f>'เม.ย.65'!N10</f>
        <v>0</v>
      </c>
      <c r="P10" s="69">
        <v>12354988.32</v>
      </c>
      <c r="Q10" s="92">
        <v>6450210.2000000002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91">
        <v>7.11</v>
      </c>
      <c r="E11" s="91">
        <v>6.84</v>
      </c>
      <c r="F11" s="91">
        <v>5.96</v>
      </c>
      <c r="G11" s="47">
        <f t="shared" si="0"/>
        <v>0</v>
      </c>
      <c r="H11" s="92">
        <v>227898399.25</v>
      </c>
      <c r="I11" s="92">
        <v>64828716.630000003</v>
      </c>
      <c r="J11" s="47">
        <f t="shared" si="1"/>
        <v>0</v>
      </c>
      <c r="K11" s="49">
        <f t="shared" si="3"/>
        <v>8103589.5787500003</v>
      </c>
      <c r="L11" s="45">
        <f t="shared" si="5"/>
        <v>28.123141854026859</v>
      </c>
      <c r="M11" s="43">
        <f t="shared" si="4"/>
        <v>0</v>
      </c>
      <c r="N11" s="46">
        <f t="shared" si="2"/>
        <v>0</v>
      </c>
      <c r="O11" s="46">
        <f>'เม.ย.65'!N11</f>
        <v>0</v>
      </c>
      <c r="P11" s="69">
        <v>124165236.15000001</v>
      </c>
      <c r="Q11" s="92">
        <v>184620994.99000001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91">
        <v>2.17</v>
      </c>
      <c r="E12" s="91">
        <v>1.99</v>
      </c>
      <c r="F12" s="91">
        <v>1.33</v>
      </c>
      <c r="G12" s="47">
        <f t="shared" si="0"/>
        <v>0</v>
      </c>
      <c r="H12" s="92">
        <v>32564066.129999999</v>
      </c>
      <c r="I12" s="92">
        <v>15949220.859999999</v>
      </c>
      <c r="J12" s="47">
        <f t="shared" si="1"/>
        <v>0</v>
      </c>
      <c r="K12" s="49">
        <f t="shared" si="3"/>
        <v>1993652.6074999999</v>
      </c>
      <c r="L12" s="45">
        <f t="shared" si="5"/>
        <v>16.333871812720009</v>
      </c>
      <c r="M12" s="43">
        <f t="shared" si="4"/>
        <v>0</v>
      </c>
      <c r="N12" s="46">
        <f t="shared" si="2"/>
        <v>0</v>
      </c>
      <c r="O12" s="46">
        <f>'เม.ย.65'!N12</f>
        <v>0</v>
      </c>
      <c r="P12" s="69">
        <v>17649605.170000002</v>
      </c>
      <c r="Q12" s="92">
        <v>9218080.75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93">
        <v>4.7</v>
      </c>
      <c r="E13" s="91">
        <v>4.59</v>
      </c>
      <c r="F13" s="91">
        <v>2.73</v>
      </c>
      <c r="G13" s="47">
        <f t="shared" si="0"/>
        <v>0</v>
      </c>
      <c r="H13" s="92">
        <v>89074798.969999999</v>
      </c>
      <c r="I13" s="92">
        <v>34780891.149999999</v>
      </c>
      <c r="J13" s="47">
        <f t="shared" si="1"/>
        <v>0</v>
      </c>
      <c r="K13" s="49">
        <f t="shared" si="3"/>
        <v>4347611.3937499998</v>
      </c>
      <c r="L13" s="45">
        <f t="shared" si="5"/>
        <v>20.488215459654779</v>
      </c>
      <c r="M13" s="43">
        <f t="shared" si="4"/>
        <v>0</v>
      </c>
      <c r="N13" s="46">
        <f t="shared" si="2"/>
        <v>0</v>
      </c>
      <c r="O13" s="46">
        <f>'เม.ย.65'!N13</f>
        <v>0</v>
      </c>
      <c r="P13" s="69">
        <v>37712053.57</v>
      </c>
      <c r="Q13" s="92">
        <v>41623611.649999999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91">
        <v>5.27</v>
      </c>
      <c r="E14" s="91">
        <v>5.05</v>
      </c>
      <c r="F14" s="91">
        <v>3.08</v>
      </c>
      <c r="G14" s="47">
        <f t="shared" si="0"/>
        <v>0</v>
      </c>
      <c r="H14" s="92">
        <v>81111901.819999993</v>
      </c>
      <c r="I14" s="92">
        <v>48706459.060000002</v>
      </c>
      <c r="J14" s="47">
        <f t="shared" si="1"/>
        <v>0</v>
      </c>
      <c r="K14" s="49">
        <f t="shared" si="3"/>
        <v>6088307.3825000003</v>
      </c>
      <c r="L14" s="45">
        <f t="shared" si="5"/>
        <v>13.32257008789421</v>
      </c>
      <c r="M14" s="43">
        <f t="shared" si="4"/>
        <v>0</v>
      </c>
      <c r="N14" s="46">
        <f t="shared" si="2"/>
        <v>0</v>
      </c>
      <c r="O14" s="46">
        <f>'เม.ย.65'!N14</f>
        <v>0</v>
      </c>
      <c r="P14" s="69">
        <v>53088371.130000003</v>
      </c>
      <c r="Q14" s="92">
        <v>39558785.810000002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91">
        <v>6.88</v>
      </c>
      <c r="E15" s="91">
        <v>6.57</v>
      </c>
      <c r="F15" s="91">
        <v>4.59</v>
      </c>
      <c r="G15" s="47">
        <f t="shared" si="0"/>
        <v>0</v>
      </c>
      <c r="H15" s="92">
        <v>77348008.879999995</v>
      </c>
      <c r="I15" s="92">
        <v>38249310.979999997</v>
      </c>
      <c r="J15" s="47">
        <f t="shared" si="1"/>
        <v>0</v>
      </c>
      <c r="K15" s="49">
        <f t="shared" si="3"/>
        <v>4781163.8724999996</v>
      </c>
      <c r="L15" s="45">
        <f t="shared" si="5"/>
        <v>16.177652752060112</v>
      </c>
      <c r="M15" s="43">
        <f t="shared" si="4"/>
        <v>0</v>
      </c>
      <c r="N15" s="46">
        <f t="shared" si="2"/>
        <v>0</v>
      </c>
      <c r="O15" s="46">
        <f>'เม.ย.65'!N15</f>
        <v>0</v>
      </c>
      <c r="P15" s="69">
        <v>41950059.590000004</v>
      </c>
      <c r="Q15" s="92">
        <v>47032273.140000001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91">
        <v>8.57</v>
      </c>
      <c r="E16" s="91">
        <v>8.24</v>
      </c>
      <c r="F16" s="91">
        <v>6.88</v>
      </c>
      <c r="G16" s="47">
        <f t="shared" si="0"/>
        <v>0</v>
      </c>
      <c r="H16" s="92">
        <v>188046621.99000001</v>
      </c>
      <c r="I16" s="92">
        <v>50669320.979999997</v>
      </c>
      <c r="J16" s="47">
        <f t="shared" si="1"/>
        <v>0</v>
      </c>
      <c r="K16" s="49">
        <f t="shared" si="3"/>
        <v>6333665.1224999996</v>
      </c>
      <c r="L16" s="45">
        <f t="shared" si="5"/>
        <v>29.690016499605363</v>
      </c>
      <c r="M16" s="43">
        <f t="shared" si="4"/>
        <v>0</v>
      </c>
      <c r="N16" s="46">
        <f t="shared" si="2"/>
        <v>0</v>
      </c>
      <c r="O16" s="46">
        <f>'เม.ย.65'!N16</f>
        <v>0</v>
      </c>
      <c r="P16" s="69">
        <v>39198705.950000003</v>
      </c>
      <c r="Q16" s="92">
        <v>146004555.80000001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91">
        <v>3.35</v>
      </c>
      <c r="E17" s="91">
        <v>3.25</v>
      </c>
      <c r="F17" s="91">
        <v>2.34</v>
      </c>
      <c r="G17" s="47">
        <f t="shared" si="0"/>
        <v>0</v>
      </c>
      <c r="H17" s="92">
        <v>25010176.469999999</v>
      </c>
      <c r="I17" s="92">
        <v>11322149.970000001</v>
      </c>
      <c r="J17" s="47">
        <f t="shared" si="1"/>
        <v>0</v>
      </c>
      <c r="K17" s="49">
        <f t="shared" si="3"/>
        <v>1415268.7462500001</v>
      </c>
      <c r="L17" s="45">
        <f t="shared" si="5"/>
        <v>17.671680051063657</v>
      </c>
      <c r="M17" s="43">
        <f t="shared" si="4"/>
        <v>0</v>
      </c>
      <c r="N17" s="46">
        <f t="shared" si="2"/>
        <v>0</v>
      </c>
      <c r="O17" s="46">
        <f>'เม.ย.65'!N17</f>
        <v>0</v>
      </c>
      <c r="P17" s="69">
        <v>11866018.6</v>
      </c>
      <c r="Q17" s="92">
        <v>14287411.550000001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91">
        <v>6.39</v>
      </c>
      <c r="E18" s="91">
        <v>6.29</v>
      </c>
      <c r="F18" s="91">
        <v>5.15</v>
      </c>
      <c r="G18" s="47">
        <f t="shared" si="0"/>
        <v>0</v>
      </c>
      <c r="H18" s="92">
        <v>182239931.16</v>
      </c>
      <c r="I18" s="92">
        <v>15596329.99</v>
      </c>
      <c r="J18" s="47">
        <f t="shared" si="1"/>
        <v>0</v>
      </c>
      <c r="K18" s="49">
        <f t="shared" si="3"/>
        <v>1949541.24875</v>
      </c>
      <c r="L18" s="45">
        <f t="shared" si="5"/>
        <v>93.478366398683775</v>
      </c>
      <c r="M18" s="43">
        <f t="shared" si="4"/>
        <v>0</v>
      </c>
      <c r="N18" s="46">
        <f t="shared" si="2"/>
        <v>0</v>
      </c>
      <c r="O18" s="46">
        <f>'เม.ย.65'!N18</f>
        <v>0</v>
      </c>
      <c r="P18" s="69">
        <v>21107786.829999998</v>
      </c>
      <c r="Q18" s="92">
        <v>140425702.58000001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91">
        <v>7.21</v>
      </c>
      <c r="E19" s="91">
        <v>6.81</v>
      </c>
      <c r="F19" s="91">
        <v>2.14</v>
      </c>
      <c r="G19" s="47">
        <f t="shared" si="0"/>
        <v>0</v>
      </c>
      <c r="H19" s="92">
        <v>52248371.189999998</v>
      </c>
      <c r="I19" s="92">
        <v>25435939.899999999</v>
      </c>
      <c r="J19" s="47">
        <f t="shared" si="1"/>
        <v>0</v>
      </c>
      <c r="K19" s="49">
        <f t="shared" si="3"/>
        <v>3179492.4874999998</v>
      </c>
      <c r="L19" s="45">
        <f t="shared" si="5"/>
        <v>16.432928020874904</v>
      </c>
      <c r="M19" s="43">
        <f t="shared" si="4"/>
        <v>0</v>
      </c>
      <c r="N19" s="46">
        <f t="shared" si="2"/>
        <v>0</v>
      </c>
      <c r="O19" s="46">
        <f>'เม.ย.65'!N19</f>
        <v>0</v>
      </c>
      <c r="P19" s="69">
        <v>27748233</v>
      </c>
      <c r="Q19" s="92">
        <v>9539562.1500000004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91">
        <v>3.56</v>
      </c>
      <c r="E20" s="91">
        <v>3.26</v>
      </c>
      <c r="F20" s="91">
        <v>1.83</v>
      </c>
      <c r="G20" s="47">
        <f t="shared" si="0"/>
        <v>0</v>
      </c>
      <c r="H20" s="92">
        <v>18290557.170000002</v>
      </c>
      <c r="I20" s="92">
        <v>4109805.8</v>
      </c>
      <c r="J20" s="47">
        <f t="shared" si="1"/>
        <v>0</v>
      </c>
      <c r="K20" s="49">
        <f t="shared" si="3"/>
        <v>513725.72499999998</v>
      </c>
      <c r="L20" s="45">
        <f t="shared" si="5"/>
        <v>35.603740050198972</v>
      </c>
      <c r="M20" s="43">
        <f t="shared" si="4"/>
        <v>0</v>
      </c>
      <c r="N20" s="46">
        <f t="shared" si="2"/>
        <v>0</v>
      </c>
      <c r="O20" s="46">
        <f>'เม.ย.65'!N20</f>
        <v>0</v>
      </c>
      <c r="P20" s="69">
        <v>6665116.2000000002</v>
      </c>
      <c r="Q20" s="92">
        <v>5929360.9400000004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N5" sqref="N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1" t="s">
        <v>80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63" t="s">
        <v>53</v>
      </c>
      <c r="P1" s="64">
        <v>243081</v>
      </c>
      <c r="Q1" s="41"/>
    </row>
    <row r="2" spans="1:25" ht="54.75" customHeight="1" thickBot="1" x14ac:dyDescent="0.3">
      <c r="C2" s="108" t="s">
        <v>41</v>
      </c>
      <c r="D2" s="112" t="s">
        <v>40</v>
      </c>
      <c r="E2" s="112"/>
      <c r="F2" s="112"/>
      <c r="G2" s="112"/>
      <c r="H2" s="113" t="s">
        <v>39</v>
      </c>
      <c r="I2" s="113"/>
      <c r="J2" s="113"/>
      <c r="K2" s="114" t="s">
        <v>38</v>
      </c>
      <c r="L2" s="114"/>
      <c r="M2" s="114"/>
      <c r="N2" s="115" t="s">
        <v>81</v>
      </c>
      <c r="O2" s="117" t="s">
        <v>82</v>
      </c>
      <c r="P2" s="117" t="s">
        <v>56</v>
      </c>
      <c r="Q2" s="118" t="s">
        <v>37</v>
      </c>
    </row>
    <row r="3" spans="1:25" ht="38.25" customHeight="1" thickBot="1" x14ac:dyDescent="0.3">
      <c r="C3" s="108"/>
      <c r="D3" s="105" t="s">
        <v>36</v>
      </c>
      <c r="E3" s="105" t="s">
        <v>35</v>
      </c>
      <c r="F3" s="105" t="s">
        <v>34</v>
      </c>
      <c r="G3" s="106" t="s">
        <v>29</v>
      </c>
      <c r="H3" s="107" t="s">
        <v>33</v>
      </c>
      <c r="I3" s="108" t="s">
        <v>32</v>
      </c>
      <c r="J3" s="109" t="s">
        <v>29</v>
      </c>
      <c r="K3" s="110" t="s">
        <v>31</v>
      </c>
      <c r="L3" s="108" t="s">
        <v>30</v>
      </c>
      <c r="M3" s="116" t="s">
        <v>29</v>
      </c>
      <c r="N3" s="115"/>
      <c r="O3" s="117"/>
      <c r="P3" s="117"/>
      <c r="Q3" s="118"/>
    </row>
    <row r="4" spans="1:25" ht="36.75" customHeight="1" thickBot="1" x14ac:dyDescent="0.3">
      <c r="C4" s="108"/>
      <c r="D4" s="105"/>
      <c r="E4" s="105"/>
      <c r="F4" s="105"/>
      <c r="G4" s="106"/>
      <c r="H4" s="107"/>
      <c r="I4" s="108"/>
      <c r="J4" s="109"/>
      <c r="K4" s="110"/>
      <c r="L4" s="108"/>
      <c r="M4" s="116"/>
      <c r="N4" s="115"/>
      <c r="O4" s="117"/>
      <c r="P4" s="117"/>
      <c r="Q4" s="11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73" t="s">
        <v>28</v>
      </c>
      <c r="D5" s="95">
        <v>3.15</v>
      </c>
      <c r="E5" s="95">
        <v>2.82</v>
      </c>
      <c r="F5" s="95">
        <v>0.93</v>
      </c>
      <c r="G5" s="74">
        <f t="shared" ref="G5:G20" si="0">(IF(D5&lt;1.5,1,0))+(IF(E5&lt;1,1,0))+(IF(F5&lt;0.8,1,0))</f>
        <v>0</v>
      </c>
      <c r="H5" s="96">
        <v>440317351.50999999</v>
      </c>
      <c r="I5" s="96">
        <v>191999097.53999999</v>
      </c>
      <c r="J5" s="74">
        <f t="shared" ref="J5:J20" si="1">IF(I5&lt;0,1,0)+IF(H5&lt;0,1,0)</f>
        <v>0</v>
      </c>
      <c r="K5" s="75">
        <f>SUM(I5/9)</f>
        <v>21333233.059999999</v>
      </c>
      <c r="L5" s="76">
        <f>+H5/K5</f>
        <v>20.639972866353713</v>
      </c>
      <c r="M5" s="74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94">
        <f t="shared" ref="N5:N20" si="2">SUM(G5+J5+M5)</f>
        <v>0</v>
      </c>
      <c r="O5" s="77">
        <f>'พ.ค.65'!N5</f>
        <v>0</v>
      </c>
      <c r="P5" s="96">
        <v>234385164.69999999</v>
      </c>
      <c r="Q5" s="80">
        <v>-14632953.1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73" t="s">
        <v>27</v>
      </c>
      <c r="D6" s="95">
        <v>2.06</v>
      </c>
      <c r="E6" s="95">
        <v>1.97</v>
      </c>
      <c r="F6" s="95">
        <v>1.04</v>
      </c>
      <c r="G6" s="78">
        <f t="shared" si="0"/>
        <v>0</v>
      </c>
      <c r="H6" s="96">
        <v>142580725.66</v>
      </c>
      <c r="I6" s="96">
        <v>88539868.129999995</v>
      </c>
      <c r="J6" s="78">
        <f>IF(I6&lt;0,1,0)+IF(H6&lt;0,1,0)</f>
        <v>0</v>
      </c>
      <c r="K6" s="75">
        <f t="shared" ref="K6:K20" si="3">SUM(I6/9)</f>
        <v>9837763.1255555544</v>
      </c>
      <c r="L6" s="76">
        <f>+H6/K6</f>
        <v>14.493205807082109</v>
      </c>
      <c r="M6" s="74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0</v>
      </c>
      <c r="N6" s="94">
        <f>SUM(G6+J6+M6)</f>
        <v>0</v>
      </c>
      <c r="O6" s="77">
        <f>'พ.ค.65'!N6</f>
        <v>0</v>
      </c>
      <c r="P6" s="96">
        <v>117213051.2</v>
      </c>
      <c r="Q6" s="96">
        <v>5036227.41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73" t="s">
        <v>26</v>
      </c>
      <c r="D7" s="95">
        <v>3.28</v>
      </c>
      <c r="E7" s="95">
        <v>3.02</v>
      </c>
      <c r="F7" s="95">
        <v>2.0099999999999998</v>
      </c>
      <c r="G7" s="74">
        <f t="shared" si="0"/>
        <v>0</v>
      </c>
      <c r="H7" s="96">
        <v>75484620.459999993</v>
      </c>
      <c r="I7" s="96">
        <v>35329850.009999998</v>
      </c>
      <c r="J7" s="74">
        <f t="shared" si="1"/>
        <v>0</v>
      </c>
      <c r="K7" s="75">
        <f t="shared" si="3"/>
        <v>3925538.8899999997</v>
      </c>
      <c r="L7" s="76">
        <f t="shared" ref="L7:L20" si="5">+H7/K7</f>
        <v>19.229110340058305</v>
      </c>
      <c r="M7" s="74">
        <f t="shared" si="4"/>
        <v>0</v>
      </c>
      <c r="N7" s="94">
        <f t="shared" si="2"/>
        <v>0</v>
      </c>
      <c r="O7" s="77">
        <f>'พ.ค.65'!N7</f>
        <v>0</v>
      </c>
      <c r="P7" s="96">
        <v>34361819.729999997</v>
      </c>
      <c r="Q7" s="96">
        <v>33380862.699999999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73" t="s">
        <v>25</v>
      </c>
      <c r="D8" s="95">
        <v>13.02</v>
      </c>
      <c r="E8" s="95">
        <v>12.78</v>
      </c>
      <c r="F8" s="95">
        <v>8.42</v>
      </c>
      <c r="G8" s="78">
        <f t="shared" si="0"/>
        <v>0</v>
      </c>
      <c r="H8" s="96">
        <v>164823667.88</v>
      </c>
      <c r="I8" s="96">
        <v>105645110.98999999</v>
      </c>
      <c r="J8" s="78">
        <f t="shared" si="1"/>
        <v>0</v>
      </c>
      <c r="K8" s="75">
        <f t="shared" si="3"/>
        <v>11738345.665555555</v>
      </c>
      <c r="L8" s="76">
        <f t="shared" si="5"/>
        <v>14.041473353749561</v>
      </c>
      <c r="M8" s="74">
        <f t="shared" si="4"/>
        <v>0</v>
      </c>
      <c r="N8" s="94">
        <f t="shared" si="2"/>
        <v>0</v>
      </c>
      <c r="O8" s="77">
        <f>'พ.ค.65'!N8</f>
        <v>0</v>
      </c>
      <c r="P8" s="96">
        <v>110579684.90000001</v>
      </c>
      <c r="Q8" s="96">
        <v>101654230.54000001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73" t="s">
        <v>24</v>
      </c>
      <c r="D9" s="95">
        <v>5.25</v>
      </c>
      <c r="E9" s="95">
        <v>4.95</v>
      </c>
      <c r="F9" s="95">
        <v>2.72</v>
      </c>
      <c r="G9" s="74">
        <f t="shared" si="0"/>
        <v>0</v>
      </c>
      <c r="H9" s="96">
        <v>71091005.319999993</v>
      </c>
      <c r="I9" s="96">
        <v>26594988.030000001</v>
      </c>
      <c r="J9" s="74">
        <f t="shared" si="1"/>
        <v>0</v>
      </c>
      <c r="K9" s="75">
        <f t="shared" si="3"/>
        <v>2954998.67</v>
      </c>
      <c r="L9" s="76">
        <f t="shared" si="5"/>
        <v>24.057880648724623</v>
      </c>
      <c r="M9" s="74">
        <f t="shared" si="4"/>
        <v>0</v>
      </c>
      <c r="N9" s="94">
        <f t="shared" si="2"/>
        <v>0</v>
      </c>
      <c r="O9" s="77">
        <f>'พ.ค.65'!N9</f>
        <v>0</v>
      </c>
      <c r="P9" s="96">
        <v>28418103.77</v>
      </c>
      <c r="Q9" s="96">
        <v>28767889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79" t="s">
        <v>23</v>
      </c>
      <c r="D10" s="95">
        <v>2.3199999999999998</v>
      </c>
      <c r="E10" s="97">
        <v>2.2000000000000002</v>
      </c>
      <c r="F10" s="95">
        <v>1.37</v>
      </c>
      <c r="G10" s="74">
        <f t="shared" si="0"/>
        <v>0</v>
      </c>
      <c r="H10" s="96">
        <v>24348392.559999999</v>
      </c>
      <c r="I10" s="96">
        <v>9196969.9600000009</v>
      </c>
      <c r="J10" s="74">
        <f t="shared" si="1"/>
        <v>0</v>
      </c>
      <c r="K10" s="75">
        <f t="shared" si="3"/>
        <v>1021885.5511111112</v>
      </c>
      <c r="L10" s="76">
        <f t="shared" si="5"/>
        <v>23.826927128508309</v>
      </c>
      <c r="M10" s="74">
        <f t="shared" si="4"/>
        <v>0</v>
      </c>
      <c r="N10" s="94">
        <f t="shared" si="2"/>
        <v>0</v>
      </c>
      <c r="O10" s="77">
        <f>'พ.ค.65'!N10</f>
        <v>0</v>
      </c>
      <c r="P10" s="96">
        <v>11309685.83</v>
      </c>
      <c r="Q10" s="96">
        <v>6815461.46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79" t="s">
        <v>22</v>
      </c>
      <c r="D11" s="95">
        <v>8.08</v>
      </c>
      <c r="E11" s="95">
        <v>7.77</v>
      </c>
      <c r="F11" s="95">
        <v>6.64</v>
      </c>
      <c r="G11" s="74">
        <f t="shared" si="0"/>
        <v>0</v>
      </c>
      <c r="H11" s="96">
        <v>227283583.05000001</v>
      </c>
      <c r="I11" s="96">
        <v>56939520.07</v>
      </c>
      <c r="J11" s="74">
        <f t="shared" si="1"/>
        <v>0</v>
      </c>
      <c r="K11" s="75">
        <f t="shared" si="3"/>
        <v>6326613.3411111115</v>
      </c>
      <c r="L11" s="76">
        <f t="shared" si="5"/>
        <v>35.924999805675391</v>
      </c>
      <c r="M11" s="74">
        <f t="shared" si="4"/>
        <v>0</v>
      </c>
      <c r="N11" s="94">
        <f t="shared" si="2"/>
        <v>0</v>
      </c>
      <c r="O11" s="77">
        <f>'พ.ค.65'!N11</f>
        <v>0</v>
      </c>
      <c r="P11" s="96">
        <v>125065642.58</v>
      </c>
      <c r="Q11" s="96">
        <v>180648834.30000001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79" t="s">
        <v>21</v>
      </c>
      <c r="D12" s="95">
        <v>2.12</v>
      </c>
      <c r="E12" s="95">
        <v>1.92</v>
      </c>
      <c r="F12" s="95">
        <v>1.33</v>
      </c>
      <c r="G12" s="74">
        <f t="shared" si="0"/>
        <v>0</v>
      </c>
      <c r="H12" s="96">
        <v>29569134.190000001</v>
      </c>
      <c r="I12" s="96">
        <v>12748196.550000001</v>
      </c>
      <c r="J12" s="74">
        <f t="shared" si="1"/>
        <v>0</v>
      </c>
      <c r="K12" s="75">
        <f t="shared" si="3"/>
        <v>1416466.2833333334</v>
      </c>
      <c r="L12" s="76">
        <f t="shared" si="5"/>
        <v>20.875282763819641</v>
      </c>
      <c r="M12" s="74">
        <f t="shared" si="4"/>
        <v>0</v>
      </c>
      <c r="N12" s="94">
        <f t="shared" si="2"/>
        <v>0</v>
      </c>
      <c r="O12" s="77">
        <f>'พ.ค.65'!N12</f>
        <v>0</v>
      </c>
      <c r="P12" s="96">
        <v>14749451.6</v>
      </c>
      <c r="Q12" s="96">
        <v>8807948.3399999999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79" t="s">
        <v>20</v>
      </c>
      <c r="D13" s="95">
        <v>6.32</v>
      </c>
      <c r="E13" s="95">
        <v>6.17</v>
      </c>
      <c r="F13" s="95">
        <v>3.82</v>
      </c>
      <c r="G13" s="74">
        <f t="shared" si="0"/>
        <v>0</v>
      </c>
      <c r="H13" s="96">
        <v>88374943.019999996</v>
      </c>
      <c r="I13" s="96">
        <v>33530958.850000001</v>
      </c>
      <c r="J13" s="74">
        <f t="shared" si="1"/>
        <v>0</v>
      </c>
      <c r="K13" s="75">
        <f t="shared" si="3"/>
        <v>3725662.0944444444</v>
      </c>
      <c r="L13" s="76">
        <f t="shared" si="5"/>
        <v>23.720600736116438</v>
      </c>
      <c r="M13" s="74">
        <f t="shared" si="4"/>
        <v>0</v>
      </c>
      <c r="N13" s="94">
        <f t="shared" si="2"/>
        <v>0</v>
      </c>
      <c r="O13" s="77">
        <f>'พ.ค.65'!N13</f>
        <v>0</v>
      </c>
      <c r="P13" s="96">
        <v>36821690.93</v>
      </c>
      <c r="Q13" s="96">
        <v>46857713.280000001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79" t="s">
        <v>19</v>
      </c>
      <c r="D14" s="95">
        <v>5.28</v>
      </c>
      <c r="E14" s="95">
        <v>5.0599999999999996</v>
      </c>
      <c r="F14" s="95">
        <v>3.19</v>
      </c>
      <c r="G14" s="74">
        <f t="shared" si="0"/>
        <v>0</v>
      </c>
      <c r="H14" s="96">
        <v>79001432.209999993</v>
      </c>
      <c r="I14" s="96">
        <v>45904492.979999997</v>
      </c>
      <c r="J14" s="74">
        <f t="shared" si="1"/>
        <v>0</v>
      </c>
      <c r="K14" s="75">
        <f t="shared" si="3"/>
        <v>5100499.22</v>
      </c>
      <c r="L14" s="76">
        <f t="shared" si="5"/>
        <v>15.488960747257991</v>
      </c>
      <c r="M14" s="74">
        <f t="shared" si="4"/>
        <v>0</v>
      </c>
      <c r="N14" s="94">
        <f t="shared" si="2"/>
        <v>0</v>
      </c>
      <c r="O14" s="77">
        <f>'พ.ค.65'!N14</f>
        <v>0</v>
      </c>
      <c r="P14" s="96">
        <v>50916836.359999999</v>
      </c>
      <c r="Q14" s="96">
        <v>40311595.25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79" t="s">
        <v>18</v>
      </c>
      <c r="D15" s="95">
        <v>6.84</v>
      </c>
      <c r="E15" s="95">
        <v>6.49</v>
      </c>
      <c r="F15" s="95">
        <v>4.62</v>
      </c>
      <c r="G15" s="74">
        <f t="shared" si="0"/>
        <v>0</v>
      </c>
      <c r="H15" s="96">
        <v>77442451.799999997</v>
      </c>
      <c r="I15" s="96">
        <v>37897131.799999997</v>
      </c>
      <c r="J15" s="74">
        <f t="shared" si="1"/>
        <v>0</v>
      </c>
      <c r="K15" s="75">
        <f t="shared" si="3"/>
        <v>4210792.4222222222</v>
      </c>
      <c r="L15" s="76">
        <f t="shared" si="5"/>
        <v>18.39141995964982</v>
      </c>
      <c r="M15" s="74">
        <f t="shared" si="4"/>
        <v>0</v>
      </c>
      <c r="N15" s="94">
        <f t="shared" si="2"/>
        <v>0</v>
      </c>
      <c r="O15" s="77">
        <f>'พ.ค.65'!N15</f>
        <v>0</v>
      </c>
      <c r="P15" s="96">
        <v>42145573.740000002</v>
      </c>
      <c r="Q15" s="96">
        <v>46878329.920000002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79" t="s">
        <v>17</v>
      </c>
      <c r="D16" s="97">
        <v>8.5</v>
      </c>
      <c r="E16" s="95">
        <v>8.19</v>
      </c>
      <c r="F16" s="95">
        <v>6.74</v>
      </c>
      <c r="G16" s="74">
        <f t="shared" si="0"/>
        <v>0</v>
      </c>
      <c r="H16" s="96">
        <v>181966342.19</v>
      </c>
      <c r="I16" s="96">
        <v>47336461.670000002</v>
      </c>
      <c r="J16" s="74">
        <f t="shared" si="1"/>
        <v>0</v>
      </c>
      <c r="K16" s="75">
        <f t="shared" si="3"/>
        <v>5259606.8522222228</v>
      </c>
      <c r="L16" s="76">
        <f t="shared" si="5"/>
        <v>34.596947510082025</v>
      </c>
      <c r="M16" s="74">
        <f t="shared" si="4"/>
        <v>0</v>
      </c>
      <c r="N16" s="94">
        <f t="shared" si="2"/>
        <v>0</v>
      </c>
      <c r="O16" s="77">
        <f>'พ.ค.65'!N16</f>
        <v>0</v>
      </c>
      <c r="P16" s="96">
        <v>36214012.810000002</v>
      </c>
      <c r="Q16" s="96">
        <v>139304747.03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79" t="s">
        <v>16</v>
      </c>
      <c r="D17" s="97">
        <v>3.2</v>
      </c>
      <c r="E17" s="95">
        <v>3.09</v>
      </c>
      <c r="F17" s="95">
        <v>2.16</v>
      </c>
      <c r="G17" s="74">
        <f t="shared" si="0"/>
        <v>0</v>
      </c>
      <c r="H17" s="96">
        <v>23892676.73</v>
      </c>
      <c r="I17" s="96">
        <v>9936804.8000000007</v>
      </c>
      <c r="J17" s="74">
        <f t="shared" si="1"/>
        <v>0</v>
      </c>
      <c r="K17" s="75">
        <f t="shared" si="3"/>
        <v>1104089.4222222222</v>
      </c>
      <c r="L17" s="76">
        <f t="shared" si="5"/>
        <v>21.640164509420575</v>
      </c>
      <c r="M17" s="74">
        <f t="shared" si="4"/>
        <v>0</v>
      </c>
      <c r="N17" s="94">
        <f t="shared" si="2"/>
        <v>0</v>
      </c>
      <c r="O17" s="77">
        <f>'พ.ค.65'!N17</f>
        <v>0</v>
      </c>
      <c r="P17" s="96">
        <v>10748518.859999999</v>
      </c>
      <c r="Q17" s="96">
        <v>12529885.619999999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79" t="s">
        <v>15</v>
      </c>
      <c r="D18" s="95">
        <v>10.44</v>
      </c>
      <c r="E18" s="95">
        <v>10.29</v>
      </c>
      <c r="F18" s="97">
        <v>8.3000000000000007</v>
      </c>
      <c r="G18" s="74">
        <f t="shared" si="0"/>
        <v>0</v>
      </c>
      <c r="H18" s="96">
        <v>181780233.59</v>
      </c>
      <c r="I18" s="96">
        <v>15855649.619999999</v>
      </c>
      <c r="J18" s="74">
        <f t="shared" si="1"/>
        <v>0</v>
      </c>
      <c r="K18" s="75">
        <f t="shared" si="3"/>
        <v>1761738.8466666667</v>
      </c>
      <c r="L18" s="76">
        <f t="shared" si="5"/>
        <v>103.18228149077881</v>
      </c>
      <c r="M18" s="74">
        <f t="shared" si="4"/>
        <v>0</v>
      </c>
      <c r="N18" s="94">
        <f t="shared" si="2"/>
        <v>0</v>
      </c>
      <c r="O18" s="77">
        <f>'พ.ค.65'!N18</f>
        <v>0</v>
      </c>
      <c r="P18" s="96">
        <v>21422767.579999998</v>
      </c>
      <c r="Q18" s="96">
        <v>140608631.44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79" t="s">
        <v>14</v>
      </c>
      <c r="D19" s="95">
        <v>6.04</v>
      </c>
      <c r="E19" s="95">
        <v>5.61</v>
      </c>
      <c r="F19" s="74">
        <v>1.96</v>
      </c>
      <c r="G19" s="74">
        <f t="shared" si="0"/>
        <v>0</v>
      </c>
      <c r="H19" s="96">
        <v>40815167.280000001</v>
      </c>
      <c r="I19" s="96">
        <v>24289554.82</v>
      </c>
      <c r="J19" s="74">
        <f t="shared" si="1"/>
        <v>0</v>
      </c>
      <c r="K19" s="75">
        <f t="shared" si="3"/>
        <v>2698839.4244444445</v>
      </c>
      <c r="L19" s="76">
        <f t="shared" si="5"/>
        <v>15.123229233396053</v>
      </c>
      <c r="M19" s="74">
        <f t="shared" si="4"/>
        <v>0</v>
      </c>
      <c r="N19" s="94">
        <f t="shared" si="2"/>
        <v>0</v>
      </c>
      <c r="O19" s="77">
        <f>'พ.ค.65'!N19</f>
        <v>0</v>
      </c>
      <c r="P19" s="96">
        <v>26979256.280000001</v>
      </c>
      <c r="Q19" s="96">
        <v>7782150.0199999996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73" t="s">
        <v>13</v>
      </c>
      <c r="D20" s="95">
        <v>3.37</v>
      </c>
      <c r="E20" s="95">
        <v>3.06</v>
      </c>
      <c r="F20" s="95">
        <v>1.47</v>
      </c>
      <c r="G20" s="74">
        <f t="shared" si="0"/>
        <v>0</v>
      </c>
      <c r="H20" s="96">
        <v>17587224.010000002</v>
      </c>
      <c r="I20" s="96">
        <v>3766972.61</v>
      </c>
      <c r="J20" s="74">
        <f t="shared" si="1"/>
        <v>0</v>
      </c>
      <c r="K20" s="75">
        <f t="shared" si="3"/>
        <v>418552.51222222223</v>
      </c>
      <c r="L20" s="76">
        <f t="shared" si="5"/>
        <v>42.019157683761343</v>
      </c>
      <c r="M20" s="74">
        <f t="shared" si="4"/>
        <v>0</v>
      </c>
      <c r="N20" s="94">
        <f t="shared" si="2"/>
        <v>0</v>
      </c>
      <c r="O20" s="77">
        <f>'พ.ค.65'!N20</f>
        <v>0</v>
      </c>
      <c r="P20" s="96">
        <v>6484744</v>
      </c>
      <c r="Q20" s="96">
        <v>3482998.56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12</vt:i4>
      </vt:variant>
    </vt:vector>
  </HeadingPairs>
  <TitlesOfParts>
    <vt:vector size="12" baseType="lpstr">
      <vt:lpstr>ต.ค.64</vt:lpstr>
      <vt:lpstr>พ.ย.64</vt:lpstr>
      <vt:lpstr>ธ.ค.64</vt:lpstr>
      <vt:lpstr>ม.ค.65</vt:lpstr>
      <vt:lpstr>ก.พ.65</vt:lpstr>
      <vt:lpstr>มี.ค.65</vt:lpstr>
      <vt:lpstr>เม.ย.65</vt:lpstr>
      <vt:lpstr>พ.ค.65</vt:lpstr>
      <vt:lpstr>มิ.ย.65</vt:lpstr>
      <vt:lpstr>ก.ค.65</vt:lpstr>
      <vt:lpstr>ส.ค.65</vt:lpstr>
      <vt:lpstr>ก.ย.65 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MAMEEDAH</cp:lastModifiedBy>
  <cp:lastPrinted>2021-05-17T04:36:02Z</cp:lastPrinted>
  <dcterms:created xsi:type="dcterms:W3CDTF">2017-12-26T02:45:48Z</dcterms:created>
  <dcterms:modified xsi:type="dcterms:W3CDTF">2022-10-17T03:40:25Z</dcterms:modified>
</cp:coreProperties>
</file>